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210" tabRatio="881" firstSheet="11" activeTab="13"/>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6" sheetId="13" r:id="rId13"/>
    <sheet name="07" sheetId="14" r:id="rId14"/>
  </sheets>
  <externalReferences>
    <externalReference r:id="rId17"/>
    <externalReference r:id="rId18"/>
    <externalReference r:id="rId19"/>
    <externalReference r:id="rId20"/>
    <externalReference r:id="rId21"/>
    <externalReference r:id="rId22"/>
    <externalReference r:id="rId23"/>
    <externalReference r:id="rId24"/>
  </externalReferences>
  <definedNames>
    <definedName name="_xlfn.COUNTIFS" hidden="1">#NAME?</definedName>
    <definedName name="_xlfn.SUMIFS" hidden="1">#NAME?</definedName>
    <definedName name="Nguyennhan">'[1]Nguyen_nhan'!$B$3:$B$16</definedName>
    <definedName name="_xlnm.Print_Area" localSheetId="12">'06'!$A$1:$S$133</definedName>
    <definedName name="_xlnm.Print_Area" localSheetId="13">'07'!$A$1:$T$132</definedName>
    <definedName name="_xlnm.Print_Area" localSheetId="1">'Mãu BC mien giam 8'!$A$1:$N$36</definedName>
    <definedName name="_xlnm.Print_Titles" localSheetId="12">'06'!$6:$10</definedName>
    <definedName name="_xlnm.Print_Titles" localSheetId="13">'07'!$6:$10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<sst xmlns="http://schemas.openxmlformats.org/spreadsheetml/2006/main" count="1323" uniqueCount="621">
  <si>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</si>
  <si>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</si>
  <si>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</si>
  <si>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</si>
  <si>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</si>
  <si>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</si>
  <si>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</si>
  <si>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</si>
  <si>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</si>
  <si>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</si>
  <si>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</si>
  <si>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</si>
  <si>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</si>
  <si>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</si>
  <si>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</si>
  <si>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</si>
  <si>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</si>
  <si>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</si>
  <si>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</si>
  <si>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</si>
  <si>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</si>
  <si>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</si>
  <si>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</si>
  <si>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</si>
  <si>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</si>
  <si>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</si>
  <si>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</si>
  <si>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</si>
  <si>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</si>
  <si>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</si>
  <si>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</si>
  <si>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</si>
  <si>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</si>
  <si>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</si>
  <si>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</si>
  <si>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</si>
  <si>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</si>
  <si>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</si>
  <si>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</si>
  <si>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</si>
  <si>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</si>
  <si>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</si>
  <si>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</si>
  <si>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</si>
  <si>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</si>
  <si>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1.1</t>
  </si>
  <si>
    <t>1.2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</si>
  <si>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</si>
  <si>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</si>
  <si>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</si>
  <si>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</si>
  <si>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</si>
  <si>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</si>
  <si>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</si>
  <si>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</si>
  <si>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</si>
  <si>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</si>
  <si>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</si>
  <si>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</si>
  <si>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</si>
  <si>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</si>
  <si>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</si>
  <si>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</si>
  <si>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</si>
  <si>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</si>
  <si>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</si>
  <si>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</si>
  <si>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</si>
  <si>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</si>
  <si>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</si>
  <si>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</si>
  <si>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</si>
  <si>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</si>
  <si>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</si>
  <si>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</si>
  <si>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</si>
  <si>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</si>
  <si>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</si>
  <si>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</si>
  <si>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</si>
  <si>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</si>
  <si>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</si>
  <si>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</si>
  <si>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</si>
  <si>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</si>
  <si>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</si>
  <si>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</si>
  <si>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</si>
  <si>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</si>
  <si>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</si>
  <si>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</si>
  <si>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</si>
  <si>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</si>
  <si>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</si>
  <si>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</si>
  <si>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</si>
  <si>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</si>
  <si>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</si>
  <si>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</si>
  <si>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</si>
  <si>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</si>
  <si>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</si>
  <si>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1.3</t>
  </si>
  <si>
    <t>Đang thi hành</t>
  </si>
  <si>
    <t>1.4</t>
  </si>
  <si>
    <t>1.5</t>
  </si>
  <si>
    <t>Tạm đình chỉ thi hành án</t>
  </si>
  <si>
    <t>1.6</t>
  </si>
  <si>
    <t>1.7</t>
  </si>
  <si>
    <t>Trường hợp khác</t>
  </si>
  <si>
    <t>Chưa có điều kiện thi hành</t>
  </si>
  <si>
    <t>4.1</t>
  </si>
  <si>
    <t>5.1</t>
  </si>
  <si>
    <t>5.2</t>
  </si>
  <si>
    <t>5.3</t>
  </si>
  <si>
    <t>1.8</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</si>
  <si>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</si>
  <si>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</si>
  <si>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</si>
  <si>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</si>
  <si>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</si>
  <si>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</si>
  <si>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</si>
  <si>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</si>
  <si>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</si>
  <si>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</si>
  <si>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</si>
  <si>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</si>
  <si>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</si>
  <si>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</si>
  <si>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</si>
  <si>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</si>
  <si>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</si>
  <si>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</si>
  <si>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</si>
  <si>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</si>
  <si>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</si>
  <si>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</si>
  <si>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</si>
  <si>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</si>
  <si>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</si>
  <si>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</si>
  <si>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</si>
  <si>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</si>
  <si>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</si>
  <si>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</si>
  <si>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</si>
  <si>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</si>
  <si>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</si>
  <si>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</si>
  <si>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</si>
  <si>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</si>
  <si>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</si>
  <si>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</si>
  <si>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</si>
  <si>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</si>
  <si>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</si>
  <si>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</si>
  <si>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</si>
  <si>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</si>
  <si>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</si>
  <si>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</si>
  <si>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</si>
  <si>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</si>
  <si>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</si>
  <si>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</si>
  <si>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</si>
  <si>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</si>
  <si>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</si>
  <si>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</si>
  <si>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</si>
  <si>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</si>
  <si>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</si>
  <si>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</si>
  <si>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</si>
  <si>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</si>
  <si>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</si>
  <si>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</si>
  <si>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</si>
  <si>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</si>
  <si>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</si>
  <si>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</si>
  <si>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</si>
  <si>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</si>
  <si>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</si>
  <si>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</si>
  <si>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</si>
  <si>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</si>
  <si>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</si>
  <si>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</si>
  <si>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</si>
  <si>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</si>
  <si>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</si>
  <si>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</si>
  <si>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</si>
  <si>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</si>
  <si>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</si>
  <si>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</si>
  <si>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</si>
  <si>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</si>
  <si>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</si>
  <si>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</si>
  <si>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</si>
  <si>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</si>
  <si>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</si>
  <si>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</si>
  <si>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</si>
  <si>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</si>
  <si>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</si>
  <si>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</si>
  <si>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</si>
  <si>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</si>
  <si>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</si>
  <si>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</si>
  <si>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</si>
  <si>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</si>
  <si>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</si>
  <si>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</si>
  <si>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</si>
  <si>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</si>
  <si>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</si>
  <si>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</si>
  <si>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</si>
  <si>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</si>
  <si>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</si>
  <si>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</si>
  <si>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</si>
  <si>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</si>
  <si>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</si>
  <si>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</si>
  <si>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</si>
  <si>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</si>
  <si>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</si>
  <si>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</si>
  <si>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</si>
  <si>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</si>
  <si>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</si>
  <si>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 xml:space="preserve">                                   Đơn vị tính: Việc</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</si>
  <si>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</si>
  <si>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</si>
  <si>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</si>
  <si>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</si>
  <si>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</si>
  <si>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</si>
  <si>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</si>
  <si>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</si>
  <si>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</si>
  <si>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</si>
  <si>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</si>
  <si>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</si>
  <si>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</si>
  <si>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</si>
  <si>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</si>
  <si>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</si>
  <si>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</si>
  <si>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</si>
  <si>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</si>
  <si>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</si>
  <si>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</si>
  <si>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</si>
  <si>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</si>
  <si>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</si>
  <si>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</si>
  <si>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</si>
  <si>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</si>
  <si>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</si>
  <si>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</si>
  <si>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</si>
  <si>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</si>
  <si>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</si>
  <si>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</si>
  <si>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</si>
  <si>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</si>
  <si>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</si>
  <si>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</si>
  <si>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</si>
  <si>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</si>
  <si>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</si>
  <si>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</si>
  <si>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</si>
  <si>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</si>
  <si>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</si>
  <si>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</si>
  <si>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</si>
  <si>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</si>
  <si>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</si>
  <si>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</si>
  <si>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</si>
  <si>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</si>
  <si>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</si>
  <si>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</si>
  <si>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</si>
  <si>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</si>
  <si>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</si>
  <si>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</si>
  <si>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</si>
  <si>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</si>
  <si>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</si>
  <si>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</si>
  <si>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</si>
  <si>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</si>
  <si>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</si>
  <si>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</si>
  <si>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</si>
  <si>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</si>
  <si>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</si>
  <si>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</si>
  <si>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</si>
  <si>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</si>
  <si>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</si>
  <si>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</si>
  <si>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</si>
  <si>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</si>
  <si>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</si>
  <si>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</si>
  <si>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</si>
  <si>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</si>
  <si>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</si>
  <si>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</si>
  <si>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</si>
  <si>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</si>
  <si>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</si>
  <si>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</si>
  <si>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</si>
  <si>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</si>
  <si>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</si>
  <si>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</si>
  <si>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</si>
  <si>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</si>
  <si>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</si>
  <si>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</si>
  <si>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</si>
  <si>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</si>
  <si>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</si>
  <si>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</si>
  <si>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</si>
  <si>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</si>
  <si>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</si>
  <si>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</si>
  <si>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</si>
  <si>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</si>
  <si>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</si>
  <si>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</si>
  <si>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</si>
  <si>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</si>
  <si>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</si>
  <si>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</si>
  <si>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</si>
  <si>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</si>
  <si>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</si>
  <si>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</si>
  <si>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</si>
  <si>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</si>
  <si>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</si>
  <si>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</si>
  <si>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</si>
  <si>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</si>
  <si>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</si>
  <si>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</si>
  <si>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</si>
  <si>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</si>
  <si>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</si>
  <si>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</si>
  <si>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</si>
  <si>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</si>
  <si>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</si>
  <si>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</si>
  <si>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</si>
  <si>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</si>
  <si>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</si>
  <si>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</si>
  <si>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</si>
  <si>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</si>
  <si>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</si>
  <si>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</si>
  <si>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</si>
  <si>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</si>
  <si>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</si>
  <si>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</si>
  <si>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</si>
  <si>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</si>
  <si>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</si>
  <si>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</si>
  <si>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</si>
  <si>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</si>
  <si>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</si>
  <si>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</si>
  <si>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</si>
  <si>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</si>
  <si>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</si>
  <si>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</si>
  <si>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</si>
  <si>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</si>
  <si>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</si>
  <si>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</si>
  <si>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</si>
  <si>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</si>
  <si>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</si>
  <si>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</si>
  <si>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</si>
  <si>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</si>
  <si>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</si>
  <si>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</si>
  <si>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</si>
  <si>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</si>
  <si>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</si>
  <si>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</si>
  <si>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</si>
  <si>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</si>
  <si>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</si>
  <si>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</si>
  <si>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</si>
  <si>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</si>
  <si>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</si>
  <si>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</si>
  <si>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</si>
  <si>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</si>
  <si>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</si>
  <si>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</si>
  <si>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</si>
  <si>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</si>
  <si>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</si>
  <si>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</si>
  <si>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</si>
  <si>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</si>
  <si>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1.9</t>
  </si>
  <si>
    <t xml:space="preserve">Đơn vị  báo cáo: </t>
  </si>
  <si>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</si>
  <si>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</si>
  <si>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</si>
  <si>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</si>
  <si>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</si>
  <si>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</si>
  <si>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</si>
  <si>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Nguyễn Thị Mai Hoa</t>
  </si>
  <si>
    <t>Trần Hồng Quang</t>
  </si>
  <si>
    <t>Phạm Tiến Binh</t>
  </si>
  <si>
    <t xml:space="preserve"> Bùi Văn Dũng</t>
  </si>
  <si>
    <t xml:space="preserve"> Quản Văn Đức </t>
  </si>
  <si>
    <t xml:space="preserve"> Lê Thị Liên</t>
  </si>
  <si>
    <t xml:space="preserve"> Phùng Trọng Nghĩa</t>
  </si>
  <si>
    <t>1.10</t>
  </si>
  <si>
    <t xml:space="preserve"> Bùi Quang Minh</t>
  </si>
  <si>
    <t>1.11</t>
  </si>
  <si>
    <t>Ngô Văn Hòa</t>
  </si>
  <si>
    <t>1.12</t>
  </si>
  <si>
    <t>1.13</t>
  </si>
  <si>
    <t>1.14</t>
  </si>
  <si>
    <t>Đinh Đức Quang</t>
  </si>
  <si>
    <t>1.15</t>
  </si>
  <si>
    <t xml:space="preserve"> Nguyễn Thị Mai Anh</t>
  </si>
  <si>
    <t>1.16</t>
  </si>
  <si>
    <t>Phan Thị Nhuyến</t>
  </si>
  <si>
    <t>1.17</t>
  </si>
  <si>
    <t>Lê Thị Minh Thúy</t>
  </si>
  <si>
    <t>Các Chi  cục THADS</t>
  </si>
  <si>
    <t xml:space="preserve"> H.An Dương</t>
  </si>
  <si>
    <t>Trần Quốc Lập</t>
  </si>
  <si>
    <t xml:space="preserve"> H.An Lão</t>
  </si>
  <si>
    <t xml:space="preserve"> Phạm Văn Hùng</t>
  </si>
  <si>
    <t>Vũ Văn Biên</t>
  </si>
  <si>
    <t xml:space="preserve"> Trịnh Duy Hưng </t>
  </si>
  <si>
    <t>Trần Mạnh Cường</t>
  </si>
  <si>
    <t>Q.Đồ Sơn</t>
  </si>
  <si>
    <t xml:space="preserve"> Mai Thị Hà</t>
  </si>
  <si>
    <t>Đàm Xuân Thủy</t>
  </si>
  <si>
    <t xml:space="preserve"> Lê Viết Thắng</t>
  </si>
  <si>
    <t xml:space="preserve"> H.Bạch Long Vĩ</t>
  </si>
  <si>
    <t>Trần Tăng Vấn</t>
  </si>
  <si>
    <t xml:space="preserve"> Q.Lê Chân</t>
  </si>
  <si>
    <t>Nguyễn Ngọc Hoàn</t>
  </si>
  <si>
    <t>Lương Duy Hiếu</t>
  </si>
  <si>
    <t>Đỗ Văn Thịnh</t>
  </si>
  <si>
    <t>5.4</t>
  </si>
  <si>
    <t>Phạm Thị Ngân Hoài</t>
  </si>
  <si>
    <t>5.5</t>
  </si>
  <si>
    <t>Vũ Thế Khương</t>
  </si>
  <si>
    <t>5.6</t>
  </si>
  <si>
    <t>5.7</t>
  </si>
  <si>
    <t>Đỗ Thị Thanh Trà</t>
  </si>
  <si>
    <t xml:space="preserve"> Q.Hải An</t>
  </si>
  <si>
    <t>Trịnh Quang Khánh</t>
  </si>
  <si>
    <t>Q. Hồng Bàng</t>
  </si>
  <si>
    <t>Nguyễn Tùng Ngọc</t>
  </si>
  <si>
    <t>Phạm Đăng Ngọc</t>
  </si>
  <si>
    <t>Nguyễn Trần Tuấn</t>
  </si>
  <si>
    <t>Nguyễn Thị Hiền</t>
  </si>
  <si>
    <t>Trần Kim Thoa</t>
  </si>
  <si>
    <t xml:space="preserve"> Q.Kiến An</t>
  </si>
  <si>
    <t>8.1</t>
  </si>
  <si>
    <t xml:space="preserve"> Phạm Văn Nhất</t>
  </si>
  <si>
    <t>8.2</t>
  </si>
  <si>
    <t xml:space="preserve"> Bùi Thị Mai</t>
  </si>
  <si>
    <t xml:space="preserve"> H.Kiến Thụy</t>
  </si>
  <si>
    <t>9.1</t>
  </si>
  <si>
    <t>CHV  Phạm Văn Vơ</t>
  </si>
  <si>
    <t>9.2</t>
  </si>
  <si>
    <t>CHV Trần Đại Sỹ</t>
  </si>
  <si>
    <t>9.3</t>
  </si>
  <si>
    <t>CHV  Đỗ Thị Thành</t>
  </si>
  <si>
    <t>Q.Ngô Quyền</t>
  </si>
  <si>
    <t>Nguyễn Trường Giang</t>
  </si>
  <si>
    <t>Phạm Văn Tú</t>
  </si>
  <si>
    <t>10.7</t>
  </si>
  <si>
    <t>Mai Thị Hoa</t>
  </si>
  <si>
    <t>Đoàn Thị Minh Châu</t>
  </si>
  <si>
    <t xml:space="preserve"> H.Cát Hải</t>
  </si>
  <si>
    <t>11.1</t>
  </si>
  <si>
    <t>Nguyễn Tiến Dược</t>
  </si>
  <si>
    <t>11.2</t>
  </si>
  <si>
    <t xml:space="preserve"> Hồ Anh Văn</t>
  </si>
  <si>
    <t>Phạm Thế Toàn</t>
  </si>
  <si>
    <t xml:space="preserve"> H.Tiên Lãng</t>
  </si>
  <si>
    <t xml:space="preserve"> Lê Văn Diên</t>
  </si>
  <si>
    <t xml:space="preserve"> H.Thủy Nguyên</t>
  </si>
  <si>
    <t xml:space="preserve"> Phạm Ngọc Phong</t>
  </si>
  <si>
    <t xml:space="preserve"> H.Vĩnh Bảo</t>
  </si>
  <si>
    <t>14.1</t>
  </si>
  <si>
    <t>Phạm Hồng Nguyện</t>
  </si>
  <si>
    <t>14.2</t>
  </si>
  <si>
    <t>Trần Minh Đức</t>
  </si>
  <si>
    <t xml:space="preserve"> Q.Dương Kinh</t>
  </si>
  <si>
    <t>Thái Bá Sức</t>
  </si>
  <si>
    <t>Lương Văn Lịch</t>
  </si>
  <si>
    <t>Hồng Bàng</t>
  </si>
  <si>
    <t>10.1</t>
  </si>
  <si>
    <t>10.3</t>
  </si>
  <si>
    <t>10.4</t>
  </si>
  <si>
    <t>10.5</t>
  </si>
  <si>
    <t>10.6</t>
  </si>
  <si>
    <t>Đơn vị nhận báo cáo: Tổng cục</t>
  </si>
  <si>
    <t>Trần Thị Minh</t>
  </si>
  <si>
    <r>
      <t xml:space="preserve">CTHADS </t>
    </r>
    <r>
      <rPr>
        <sz val="12"/>
        <color indexed="10"/>
        <rFont val="Times New Roman"/>
        <family val="1"/>
      </rPr>
      <t>Hải Phòng</t>
    </r>
  </si>
  <si>
    <t xml:space="preserve">
PHÓ CỤC TRƯỞNG</t>
  </si>
  <si>
    <t>Bùi Đức Tiến</t>
  </si>
  <si>
    <t>0</t>
  </si>
  <si>
    <t>Hoàng Tiến Dũng</t>
  </si>
  <si>
    <t>Đỗ Khắc Oanh</t>
  </si>
  <si>
    <t>Đỗ Thị Thanh Thủy</t>
  </si>
  <si>
    <t>Nguyễn Trí Thành</t>
  </si>
  <si>
    <t>Bùi Mạnh Hùng</t>
  </si>
  <si>
    <t>Nguyễn Thị Thủy</t>
  </si>
  <si>
    <t>Hoàng Vân Anh</t>
  </si>
  <si>
    <t>8.3</t>
  </si>
  <si>
    <t>Lê Thị Tuyết Thanh</t>
  </si>
  <si>
    <t>Nguyễn Thanh Hải</t>
  </si>
  <si>
    <t>Đỗ Văn Hoàng</t>
  </si>
  <si>
    <t>Phùng Ngọc Huy</t>
  </si>
  <si>
    <t>13.11</t>
  </si>
  <si>
    <t>Tô Anh Dũng</t>
  </si>
  <si>
    <t>Phạm Văn Phúc</t>
  </si>
  <si>
    <t>Lương Thanh Thủy</t>
  </si>
  <si>
    <t>13.12</t>
  </si>
  <si>
    <t>1.18</t>
  </si>
  <si>
    <t>Kiều T. Hạnh Nguyên</t>
  </si>
  <si>
    <t>1.19</t>
  </si>
  <si>
    <t>Trần Công Chu</t>
  </si>
  <si>
    <t xml:space="preserve"> Nguyễn Phi Hùng</t>
  </si>
  <si>
    <t>Nguyễn Thị Hồng</t>
  </si>
  <si>
    <t>Lê Đắc Phổ</t>
  </si>
  <si>
    <t>11.3</t>
  </si>
  <si>
    <t>Bùi Thị Thu Hà</t>
  </si>
  <si>
    <t>13.10</t>
  </si>
  <si>
    <t>Ngô Nhật Trình</t>
  </si>
  <si>
    <t>13.13</t>
  </si>
  <si>
    <t>Nguyễn Sơn Lâm</t>
  </si>
  <si>
    <t>87</t>
  </si>
  <si>
    <t>14.3</t>
  </si>
  <si>
    <t>Lương Thị Tuyết</t>
  </si>
  <si>
    <t>40</t>
  </si>
  <si>
    <t>14.4</t>
  </si>
  <si>
    <t>Bùi Thị Phượng</t>
  </si>
  <si>
    <t>61</t>
  </si>
  <si>
    <t>49</t>
  </si>
  <si>
    <t>7.1</t>
  </si>
  <si>
    <t>7.2</t>
  </si>
  <si>
    <t>7.3</t>
  </si>
  <si>
    <t>7.4</t>
  </si>
  <si>
    <t>7.5</t>
  </si>
  <si>
    <t>7.6</t>
  </si>
  <si>
    <t>7.7</t>
  </si>
  <si>
    <t>7.8</t>
  </si>
  <si>
    <t>10.2</t>
  </si>
  <si>
    <t>Nguyễn Văn Lai</t>
  </si>
  <si>
    <t>Nguyễn T. P Thảo</t>
  </si>
  <si>
    <t>Nguyễn Văn Thảnh</t>
  </si>
  <si>
    <t>Phạm T. Thu Hiền</t>
  </si>
  <si>
    <t>14.5</t>
  </si>
  <si>
    <t>Nguyễn Thị Hà</t>
  </si>
  <si>
    <t>71</t>
  </si>
  <si>
    <t xml:space="preserve"> Phạm Văn Vơ</t>
  </si>
  <si>
    <t>Trần Đại Sỹ</t>
  </si>
  <si>
    <t>Đỗ Thị Thành</t>
  </si>
  <si>
    <t xml:space="preserve"> Nguyễn Thế Mạnh</t>
  </si>
  <si>
    <t>Bùi Văn Châu</t>
  </si>
  <si>
    <t>Tạ Văn Quảng</t>
  </si>
  <si>
    <t>Nguyễn Thị Xuân Hoa</t>
  </si>
  <si>
    <t>Đinh Thị Quyên</t>
  </si>
  <si>
    <t>Hoàng Trọng Hiếu</t>
  </si>
  <si>
    <t>Phạm Văn Cương</t>
  </si>
  <si>
    <t xml:space="preserve">Lê Văn Thụy </t>
  </si>
  <si>
    <t xml:space="preserve">Mai Trung Nghĩa </t>
  </si>
  <si>
    <t>59</t>
  </si>
  <si>
    <t>52</t>
  </si>
  <si>
    <t>111</t>
  </si>
  <si>
    <t>93</t>
  </si>
  <si>
    <t>76</t>
  </si>
  <si>
    <t>54</t>
  </si>
  <si>
    <t>33</t>
  </si>
  <si>
    <t>42</t>
  </si>
  <si>
    <t>Trịnh Duy Hưng</t>
  </si>
  <si>
    <t>Nguyễn Thị Quế</t>
  </si>
  <si>
    <t>Nguyễn Thị Diệp Anh</t>
  </si>
  <si>
    <t>5.8</t>
  </si>
  <si>
    <t>5.9</t>
  </si>
  <si>
    <t>Trần Thị Hương</t>
  </si>
  <si>
    <t>1.20</t>
  </si>
  <si>
    <r>
      <rPr>
        <sz val="12"/>
        <color indexed="10"/>
        <rFont val="Times New Roman"/>
        <family val="1"/>
      </rPr>
      <t xml:space="preserve">8 </t>
    </r>
    <r>
      <rPr>
        <sz val="12"/>
        <rFont val="Times New Roman"/>
        <family val="1"/>
      </rPr>
      <t>tháng / năm 2018</t>
    </r>
  </si>
  <si>
    <t>Hải Phòng, ngày 6 tháng 5 năm 2018</t>
  </si>
  <si>
    <t>8 tháng/ 2018</t>
  </si>
  <si>
    <t>Hải Phòng, ngày 06 tháng 5 năm 2018</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</si>
</sst>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Red]#,##0"/>
    <numFmt numFmtId="211" formatCode="0;[Red]0"/>
    <numFmt numFmtId="212" formatCode="###\ ###\ ###"/>
    <numFmt numFmtId="213" formatCode="0_);\(0\)"/>
    <numFmt numFmtId="214" formatCode="###\ ###\ "/>
    <numFmt numFmtId="215" formatCode="#,##0.00;[Red]#,##0.00"/>
    <numFmt numFmtId="216" formatCode="0.0000%"/>
    <numFmt numFmtId="217" formatCode="_(* #,##0_);_(* \(#,##0\);_(* &quot;&quot;??_);_(@_)"/>
    <numFmt numFmtId="218" formatCode="#,##0.0"/>
  </numFmts>
  <fonts count="142">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b/>
      <sz val="11"/>
      <name val=".VnTime"/>
      <family val="2"/>
    </font>
    <font>
      <sz val="11"/>
      <color indexed="8"/>
      <name val="Calibri"/>
      <family val="2"/>
    </font>
    <font>
      <sz val="11"/>
      <name val=".VnTime"/>
      <family val="2"/>
    </font>
    <font>
      <sz val="8"/>
      <color indexed="8"/>
      <name val="Times New Roman"/>
      <family val="1"/>
    </font>
    <font>
      <sz val="7"/>
      <name val="Times New Roman"/>
      <family val="1"/>
    </font>
    <font>
      <sz val="12"/>
      <color indexed="8"/>
      <name val="Times New Roman"/>
      <family val="1"/>
    </font>
    <font>
      <b/>
      <sz val="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4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color indexed="63"/>
      </right>
      <top style="thin"/>
      <bottom style="thin"/>
    </border>
    <border>
      <left style="double"/>
      <right style="thin"/>
      <top style="double"/>
      <bottom style="thin"/>
    </border>
    <border>
      <left style="thin"/>
      <right style="thin"/>
      <top style="double"/>
      <bottom style="thin"/>
    </border>
    <border>
      <left style="double"/>
      <right style="thin"/>
      <top style="thin"/>
      <bottom style="thin"/>
    </border>
    <border>
      <left>
        <color indexed="63"/>
      </left>
      <right>
        <color indexed="63"/>
      </right>
      <top>
        <color indexed="63"/>
      </top>
      <bottom style="double"/>
    </border>
    <border>
      <left style="thin"/>
      <right>
        <color indexed="63"/>
      </right>
      <top style="double"/>
      <bottom style="thin"/>
    </border>
  </borders>
  <cellStyleXfs count="3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5"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125"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25"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25"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25"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125"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125" fillId="10"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25"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25"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25" fillId="1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25" fillId="16"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25"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26"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126" fillId="21"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126"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26"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26"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26"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26"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26" fillId="28"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126" fillId="30"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26" fillId="3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26" fillId="3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26" fillId="34"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27" fillId="36"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128" fillId="37" borderId="1" applyNumberFormat="0" applyAlignment="0" applyProtection="0"/>
    <xf numFmtId="0" fontId="39" fillId="38" borderId="2" applyNumberFormat="0" applyAlignment="0" applyProtection="0"/>
    <xf numFmtId="0" fontId="39" fillId="38" borderId="2" applyNumberFormat="0" applyAlignment="0" applyProtection="0"/>
    <xf numFmtId="0" fontId="39" fillId="38" borderId="2" applyNumberFormat="0" applyAlignment="0" applyProtection="0"/>
    <xf numFmtId="0" fontId="39" fillId="3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9" fillId="39" borderId="3" applyNumberFormat="0" applyAlignment="0" applyProtection="0"/>
    <xf numFmtId="0" fontId="40" fillId="40" borderId="4" applyNumberFormat="0" applyAlignment="0" applyProtection="0"/>
    <xf numFmtId="0" fontId="40" fillId="40" borderId="4" applyNumberFormat="0" applyAlignment="0" applyProtection="0"/>
    <xf numFmtId="0" fontId="40" fillId="40" borderId="4" applyNumberFormat="0" applyAlignment="0" applyProtection="0"/>
    <xf numFmtId="0" fontId="40" fillId="40" borderId="4" applyNumberFormat="0" applyAlignment="0" applyProtection="0"/>
    <xf numFmtId="0" fontId="13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131" fillId="41"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32" fillId="0" borderId="5"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133" fillId="0" borderId="7" applyNumberFormat="0" applyFill="0" applyAlignment="0" applyProtection="0"/>
    <xf numFmtId="0" fontId="44" fillId="0" borderId="8" applyNumberFormat="0" applyFill="0" applyAlignment="0" applyProtection="0"/>
    <xf numFmtId="0" fontId="44" fillId="0" borderId="8" applyNumberFormat="0" applyFill="0" applyAlignment="0" applyProtection="0"/>
    <xf numFmtId="0" fontId="134" fillId="0" borderId="9"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13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135" fillId="42" borderId="1" applyNumberFormat="0" applyAlignment="0" applyProtection="0"/>
    <xf numFmtId="0" fontId="46" fillId="9" borderId="2" applyNumberFormat="0" applyAlignment="0" applyProtection="0"/>
    <xf numFmtId="0" fontId="46" fillId="9" borderId="2" applyNumberFormat="0" applyAlignment="0" applyProtection="0"/>
    <xf numFmtId="0" fontId="46" fillId="9" borderId="2" applyNumberFormat="0" applyAlignment="0" applyProtection="0"/>
    <xf numFmtId="0" fontId="46" fillId="9" borderId="2" applyNumberFormat="0" applyAlignment="0" applyProtection="0"/>
    <xf numFmtId="0" fontId="136" fillId="0" borderId="11"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137" fillId="43"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10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0"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0" fillId="0" borderId="0">
      <alignment/>
      <protection/>
    </xf>
    <xf numFmtId="0" fontId="0"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45" borderId="13" applyNumberFormat="0" applyFont="0" applyAlignment="0" applyProtection="0"/>
    <xf numFmtId="0" fontId="36" fillId="46" borderId="14" applyNumberFormat="0" applyFont="0" applyAlignment="0" applyProtection="0"/>
    <xf numFmtId="0" fontId="36" fillId="46" borderId="14" applyNumberFormat="0" applyFont="0" applyAlignment="0" applyProtection="0"/>
    <xf numFmtId="0" fontId="36" fillId="46" borderId="14" applyNumberFormat="0" applyFont="0" applyAlignment="0" applyProtection="0"/>
    <xf numFmtId="0" fontId="36" fillId="46" borderId="14" applyNumberFormat="0" applyFont="0" applyAlignment="0" applyProtection="0"/>
    <xf numFmtId="0" fontId="138" fillId="37" borderId="15" applyNumberFormat="0" applyAlignment="0" applyProtection="0"/>
    <xf numFmtId="0" fontId="49" fillId="38" borderId="16" applyNumberFormat="0" applyAlignment="0" applyProtection="0"/>
    <xf numFmtId="0" fontId="49" fillId="38" borderId="16" applyNumberFormat="0" applyAlignment="0" applyProtection="0"/>
    <xf numFmtId="0" fontId="49" fillId="38" borderId="16" applyNumberFormat="0" applyAlignment="0" applyProtection="0"/>
    <xf numFmtId="0" fontId="49" fillId="38"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0" fontId="13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40" fillId="0" borderId="17"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14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cellStyleXfs>
  <cellXfs count="964">
    <xf numFmtId="0" fontId="0" fillId="0" borderId="0" xfId="0" applyAlignment="1">
      <alignment/>
    </xf>
    <xf numFmtId="49" fontId="0" fillId="0" borderId="0" xfId="0" applyNumberFormat="1" applyFill="1" applyAlignment="1">
      <alignment/>
    </xf>
    <xf numFmtId="49" fontId="9" fillId="0" borderId="0" xfId="145" applyNumberFormat="1" applyFont="1" applyBorder="1" applyAlignment="1">
      <alignment vertical="center"/>
    </xf>
    <xf numFmtId="49" fontId="9" fillId="0" borderId="19" xfId="145" applyNumberFormat="1" applyFont="1" applyBorder="1" applyAlignment="1">
      <alignment vertical="center"/>
    </xf>
    <xf numFmtId="49" fontId="5" fillId="0" borderId="20" xfId="0" applyNumberFormat="1" applyFont="1" applyFill="1" applyBorder="1" applyAlignment="1">
      <alignment horizontal="left"/>
    </xf>
    <xf numFmtId="49" fontId="7"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5" fillId="0" borderId="22" xfId="0" applyNumberFormat="1" applyFont="1" applyFill="1" applyBorder="1" applyAlignment="1">
      <alignment/>
    </xf>
    <xf numFmtId="49" fontId="5"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6" fillId="0" borderId="20" xfId="0" applyNumberFormat="1" applyFont="1" applyFill="1" applyBorder="1" applyAlignment="1">
      <alignment horizontal="left"/>
    </xf>
    <xf numFmtId="49" fontId="16" fillId="0" borderId="20" xfId="0" applyNumberFormat="1" applyFont="1" applyFill="1" applyBorder="1" applyAlignment="1">
      <alignment horizontal="center" vertical="center" wrapText="1"/>
    </xf>
    <xf numFmtId="49" fontId="6" fillId="0" borderId="23" xfId="0" applyNumberFormat="1" applyFont="1" applyFill="1" applyBorder="1" applyAlignment="1">
      <alignment horizontal="center"/>
    </xf>
    <xf numFmtId="49" fontId="12" fillId="0" borderId="20" xfId="0" applyNumberFormat="1" applyFont="1" applyFill="1" applyBorder="1" applyAlignment="1">
      <alignment horizontal="left"/>
    </xf>
    <xf numFmtId="49" fontId="5" fillId="0" borderId="20" xfId="0" applyNumberFormat="1" applyFont="1" applyFill="1" applyBorder="1" applyAlignment="1">
      <alignment horizontal="center"/>
    </xf>
    <xf numFmtId="49" fontId="7"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20"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4" fillId="47" borderId="20" xfId="352" applyNumberFormat="1" applyFont="1" applyFill="1" applyBorder="1" applyAlignment="1" applyProtection="1">
      <alignment horizontal="center" vertical="center"/>
      <protection/>
    </xf>
    <xf numFmtId="49" fontId="0" fillId="47" borderId="0" xfId="355" applyNumberFormat="1" applyFont="1" applyFill="1" applyBorder="1" applyAlignment="1">
      <alignment horizontal="left"/>
      <protection/>
    </xf>
    <xf numFmtId="49" fontId="0" fillId="0" borderId="0" xfId="355" applyNumberFormat="1" applyFont="1">
      <alignment/>
      <protection/>
    </xf>
    <xf numFmtId="49" fontId="0" fillId="0" borderId="0" xfId="355" applyNumberFormat="1">
      <alignment/>
      <protection/>
    </xf>
    <xf numFmtId="49" fontId="0" fillId="0" borderId="0" xfId="355" applyNumberFormat="1" applyFont="1" applyAlignment="1">
      <alignment horizontal="left"/>
      <protection/>
    </xf>
    <xf numFmtId="49" fontId="0" fillId="0" borderId="0" xfId="355" applyNumberFormat="1" applyFont="1" applyBorder="1" applyAlignment="1">
      <alignment wrapText="1"/>
      <protection/>
    </xf>
    <xf numFmtId="49" fontId="15" fillId="0" borderId="0" xfId="355" applyNumberFormat="1" applyFont="1" applyAlignment="1">
      <alignment/>
      <protection/>
    </xf>
    <xf numFmtId="49" fontId="0" fillId="0" borderId="0" xfId="355" applyNumberFormat="1" applyFont="1" applyBorder="1" applyAlignment="1">
      <alignment horizontal="left" wrapText="1"/>
      <protection/>
    </xf>
    <xf numFmtId="49" fontId="18" fillId="0" borderId="0" xfId="355" applyNumberFormat="1" applyFont="1" applyAlignment="1">
      <alignment horizontal="left"/>
      <protection/>
    </xf>
    <xf numFmtId="49" fontId="0" fillId="0" borderId="0" xfId="355" applyNumberFormat="1" applyFont="1" applyFill="1" applyAlignment="1">
      <alignment/>
      <protection/>
    </xf>
    <xf numFmtId="49" fontId="0" fillId="0" borderId="0" xfId="355" applyNumberFormat="1" applyFont="1" applyFill="1" applyAlignment="1">
      <alignment horizontal="center"/>
      <protection/>
    </xf>
    <xf numFmtId="49" fontId="0" fillId="0" borderId="0" xfId="355" applyNumberFormat="1" applyFont="1" applyAlignment="1">
      <alignment horizontal="center"/>
      <protection/>
    </xf>
    <xf numFmtId="49" fontId="0" fillId="0" borderId="0" xfId="355" applyNumberFormat="1" applyFont="1" applyFill="1">
      <alignment/>
      <protection/>
    </xf>
    <xf numFmtId="49" fontId="13" fillId="47" borderId="22" xfId="355" applyNumberFormat="1" applyFont="1" applyFill="1" applyBorder="1" applyAlignment="1">
      <alignment/>
      <protection/>
    </xf>
    <xf numFmtId="49" fontId="7" fillId="0" borderId="20" xfId="355" applyNumberFormat="1" applyFont="1" applyFill="1" applyBorder="1" applyAlignment="1">
      <alignment horizontal="center" vertical="center" wrapText="1"/>
      <protection/>
    </xf>
    <xf numFmtId="49" fontId="53" fillId="48" borderId="20" xfId="355" applyNumberFormat="1" applyFont="1" applyFill="1" applyBorder="1" applyAlignment="1">
      <alignment horizontal="center"/>
      <protection/>
    </xf>
    <xf numFmtId="49" fontId="7" fillId="0" borderId="21" xfId="355" applyNumberFormat="1" applyFont="1" applyFill="1" applyBorder="1" applyAlignment="1">
      <alignment horizontal="center" vertical="center" wrapText="1"/>
      <protection/>
    </xf>
    <xf numFmtId="49" fontId="7" fillId="0" borderId="20" xfId="355" applyNumberFormat="1" applyFont="1" applyBorder="1" applyAlignment="1">
      <alignment horizontal="center" vertical="center" wrapText="1"/>
      <protection/>
    </xf>
    <xf numFmtId="49" fontId="54" fillId="0" borderId="20" xfId="355" applyNumberFormat="1" applyFont="1" applyFill="1" applyBorder="1" applyAlignment="1">
      <alignment horizontal="center" vertical="center" wrapText="1"/>
      <protection/>
    </xf>
    <xf numFmtId="49" fontId="18" fillId="0" borderId="20" xfId="355" applyNumberFormat="1" applyFont="1" applyBorder="1" applyAlignment="1">
      <alignment horizontal="center" vertical="center"/>
      <protection/>
    </xf>
    <xf numFmtId="3" fontId="0" fillId="0" borderId="20" xfId="355" applyNumberFormat="1" applyFont="1" applyBorder="1" applyAlignment="1">
      <alignment horizontal="center" vertical="center"/>
      <protection/>
    </xf>
    <xf numFmtId="3" fontId="0" fillId="0" borderId="20" xfId="355" applyNumberFormat="1" applyFont="1" applyBorder="1" applyAlignment="1">
      <alignment vertical="center"/>
      <protection/>
    </xf>
    <xf numFmtId="49" fontId="0" fillId="0" borderId="0" xfId="355" applyNumberFormat="1" applyAlignment="1">
      <alignment vertical="center"/>
      <protection/>
    </xf>
    <xf numFmtId="3" fontId="52" fillId="3" borderId="20" xfId="355" applyNumberFormat="1" applyFont="1" applyFill="1" applyBorder="1" applyAlignment="1">
      <alignment vertical="center"/>
      <protection/>
    </xf>
    <xf numFmtId="3" fontId="57" fillId="3" borderId="20" xfId="355" applyNumberFormat="1" applyFont="1" applyFill="1" applyBorder="1" applyAlignment="1">
      <alignment vertical="center"/>
      <protection/>
    </xf>
    <xf numFmtId="49" fontId="58" fillId="0" borderId="20" xfId="355" applyNumberFormat="1" applyFont="1" applyBorder="1" applyAlignment="1">
      <alignment horizontal="center" vertical="center"/>
      <protection/>
    </xf>
    <xf numFmtId="3" fontId="25" fillId="44" borderId="20" xfId="355" applyNumberFormat="1" applyFont="1" applyFill="1" applyBorder="1" applyAlignment="1">
      <alignment vertical="center"/>
      <protection/>
    </xf>
    <xf numFmtId="3" fontId="3" fillId="48" borderId="20" xfId="355" applyNumberFormat="1" applyFont="1" applyFill="1" applyBorder="1" applyAlignment="1">
      <alignment horizontal="center" vertical="center"/>
      <protection/>
    </xf>
    <xf numFmtId="3" fontId="3" fillId="48" borderId="20" xfId="355" applyNumberFormat="1" applyFont="1" applyFill="1" applyBorder="1" applyAlignment="1">
      <alignment vertical="center"/>
      <protection/>
    </xf>
    <xf numFmtId="49" fontId="7" fillId="44" borderId="20" xfId="355" applyNumberFormat="1" applyFont="1" applyFill="1" applyBorder="1" applyAlignment="1">
      <alignment horizontal="center" vertical="center"/>
      <protection/>
    </xf>
    <xf numFmtId="49" fontId="7" fillId="44" borderId="20" xfId="355" applyNumberFormat="1" applyFont="1" applyFill="1" applyBorder="1" applyAlignment="1">
      <alignment horizontal="left" vertical="center"/>
      <protection/>
    </xf>
    <xf numFmtId="3" fontId="28" fillId="48" borderId="20" xfId="355" applyNumberFormat="1" applyFont="1" applyFill="1" applyBorder="1" applyAlignment="1">
      <alignment vertical="center"/>
      <protection/>
    </xf>
    <xf numFmtId="3" fontId="28" fillId="0" borderId="20" xfId="355" applyNumberFormat="1" applyFont="1" applyFill="1" applyBorder="1" applyAlignment="1">
      <alignment vertical="center"/>
      <protection/>
    </xf>
    <xf numFmtId="9" fontId="0" fillId="0" borderId="0" xfId="371" applyFont="1" applyAlignment="1">
      <alignment vertical="center"/>
    </xf>
    <xf numFmtId="49" fontId="7" fillId="44" borderId="23" xfId="355" applyNumberFormat="1" applyFont="1" applyFill="1" applyBorder="1" applyAlignment="1">
      <alignment horizontal="center" vertical="center"/>
      <protection/>
    </xf>
    <xf numFmtId="3" fontId="25" fillId="44" borderId="20" xfId="355" applyNumberFormat="1" applyFont="1" applyFill="1" applyBorder="1" applyAlignment="1">
      <alignment vertical="center"/>
      <protection/>
    </xf>
    <xf numFmtId="49" fontId="4" fillId="0" borderId="20" xfId="355" applyNumberFormat="1" applyFont="1" applyBorder="1" applyAlignment="1">
      <alignment horizontal="center" vertical="center"/>
      <protection/>
    </xf>
    <xf numFmtId="49" fontId="4" fillId="47" borderId="20" xfId="355" applyNumberFormat="1" applyFont="1" applyFill="1" applyBorder="1" applyAlignment="1">
      <alignment horizontal="left" vertical="center"/>
      <protection/>
    </xf>
    <xf numFmtId="49" fontId="5" fillId="47" borderId="20" xfId="355" applyNumberFormat="1" applyFont="1" applyFill="1" applyBorder="1" applyAlignment="1">
      <alignment horizontal="left" vertical="center"/>
      <protection/>
    </xf>
    <xf numFmtId="3" fontId="28" fillId="0" borderId="20" xfId="356" applyNumberFormat="1" applyFont="1" applyFill="1" applyBorder="1" applyAlignment="1">
      <alignment vertical="center"/>
      <protection/>
    </xf>
    <xf numFmtId="49" fontId="20" fillId="0" borderId="0" xfId="355" applyNumberFormat="1" applyFont="1" applyAlignment="1">
      <alignment vertical="center"/>
      <protection/>
    </xf>
    <xf numFmtId="49" fontId="4" fillId="47" borderId="20" xfId="355" applyNumberFormat="1" applyFont="1" applyFill="1" applyBorder="1" applyAlignment="1">
      <alignment horizontal="left" vertical="center"/>
      <protection/>
    </xf>
    <xf numFmtId="3" fontId="28" fillId="0" borderId="20" xfId="356" applyNumberFormat="1" applyFont="1" applyFill="1" applyBorder="1" applyAlignment="1">
      <alignment horizontal="center" vertical="center"/>
      <protection/>
    </xf>
    <xf numFmtId="49" fontId="0" fillId="0" borderId="0" xfId="355" applyNumberFormat="1" applyFill="1">
      <alignment/>
      <protection/>
    </xf>
    <xf numFmtId="49" fontId="20" fillId="0" borderId="0" xfId="355" applyNumberFormat="1" applyFont="1">
      <alignment/>
      <protection/>
    </xf>
    <xf numFmtId="49" fontId="28" fillId="0" borderId="0" xfId="355" applyNumberFormat="1" applyFont="1" applyFill="1" applyBorder="1" applyAlignment="1">
      <alignment horizontal="center" wrapText="1"/>
      <protection/>
    </xf>
    <xf numFmtId="49" fontId="59" fillId="0" borderId="0" xfId="355" applyNumberFormat="1" applyFont="1" applyBorder="1">
      <alignment/>
      <protection/>
    </xf>
    <xf numFmtId="49" fontId="60" fillId="0" borderId="0" xfId="355" applyNumberFormat="1" applyFont="1">
      <alignment/>
      <protection/>
    </xf>
    <xf numFmtId="49" fontId="1" fillId="0" borderId="0" xfId="355" applyNumberFormat="1" applyFont="1">
      <alignment/>
      <protection/>
    </xf>
    <xf numFmtId="9" fontId="1" fillId="0" borderId="0" xfId="371" applyFont="1" applyAlignment="1">
      <alignment/>
    </xf>
    <xf numFmtId="49" fontId="61" fillId="0" borderId="0" xfId="355" applyNumberFormat="1" applyFont="1" applyBorder="1">
      <alignment/>
      <protection/>
    </xf>
    <xf numFmtId="49" fontId="25" fillId="0" borderId="0" xfId="355" applyNumberFormat="1" applyFont="1" applyBorder="1" applyAlignment="1">
      <alignment horizontal="center" wrapText="1"/>
      <protection/>
    </xf>
    <xf numFmtId="49" fontId="25" fillId="0" borderId="0" xfId="355" applyNumberFormat="1" applyFont="1" applyFill="1" applyBorder="1" applyAlignment="1">
      <alignment horizontal="center" wrapText="1"/>
      <protection/>
    </xf>
    <xf numFmtId="49" fontId="62" fillId="0" borderId="0" xfId="355" applyNumberFormat="1" applyFont="1" applyBorder="1">
      <alignment/>
      <protection/>
    </xf>
    <xf numFmtId="49" fontId="63" fillId="0" borderId="0" xfId="355" applyNumberFormat="1" applyFont="1" applyBorder="1" applyAlignment="1">
      <alignment wrapText="1"/>
      <protection/>
    </xf>
    <xf numFmtId="49" fontId="2" fillId="0" borderId="0" xfId="355" applyNumberFormat="1" applyFont="1" applyBorder="1">
      <alignment/>
      <protection/>
    </xf>
    <xf numFmtId="49" fontId="40" fillId="0" borderId="0" xfId="355" applyNumberFormat="1" applyFont="1" applyBorder="1" applyAlignment="1">
      <alignment horizontal="center" wrapText="1"/>
      <protection/>
    </xf>
    <xf numFmtId="49" fontId="40" fillId="0" borderId="0" xfId="355" applyNumberFormat="1" applyFont="1" applyFill="1" applyBorder="1" applyAlignment="1">
      <alignment horizontal="center" wrapText="1"/>
      <protection/>
    </xf>
    <xf numFmtId="49" fontId="64" fillId="0" borderId="0" xfId="355" applyNumberFormat="1" applyFont="1" applyBorder="1">
      <alignment/>
      <protection/>
    </xf>
    <xf numFmtId="49" fontId="28" fillId="0" borderId="0" xfId="355" applyNumberFormat="1" applyFont="1">
      <alignment/>
      <protection/>
    </xf>
    <xf numFmtId="49" fontId="28" fillId="0" borderId="0" xfId="355" applyNumberFormat="1" applyFont="1" applyFill="1">
      <alignment/>
      <protection/>
    </xf>
    <xf numFmtId="49" fontId="28" fillId="47" borderId="0" xfId="355" applyNumberFormat="1" applyFont="1" applyFill="1">
      <alignment/>
      <protection/>
    </xf>
    <xf numFmtId="0" fontId="25" fillId="0" borderId="0" xfId="355" applyFont="1" applyAlignment="1">
      <alignment horizontal="center"/>
      <protection/>
    </xf>
    <xf numFmtId="49" fontId="25" fillId="47" borderId="0" xfId="355" applyNumberFormat="1" applyFont="1" applyFill="1" applyAlignment="1">
      <alignment horizontal="center"/>
      <protection/>
    </xf>
    <xf numFmtId="0" fontId="66" fillId="0" borderId="0" xfId="355" applyFont="1" applyAlignment="1">
      <alignment/>
      <protection/>
    </xf>
    <xf numFmtId="0" fontId="3" fillId="0" borderId="0" xfId="355" applyFont="1" applyAlignment="1">
      <alignment/>
      <protection/>
    </xf>
    <xf numFmtId="49" fontId="31" fillId="0" borderId="0" xfId="355" applyNumberFormat="1" applyFont="1">
      <alignment/>
      <protection/>
    </xf>
    <xf numFmtId="3" fontId="0" fillId="0" borderId="0" xfId="355" applyNumberFormat="1" applyFont="1" applyFill="1">
      <alignment/>
      <protection/>
    </xf>
    <xf numFmtId="49" fontId="3" fillId="0" borderId="0" xfId="355" applyNumberFormat="1" applyFont="1" applyFill="1" applyAlignment="1">
      <alignment wrapText="1"/>
      <protection/>
    </xf>
    <xf numFmtId="49" fontId="0" fillId="0" borderId="0" xfId="355" applyNumberFormat="1" applyFont="1" applyFill="1" applyBorder="1" applyAlignment="1">
      <alignment/>
      <protection/>
    </xf>
    <xf numFmtId="49" fontId="0" fillId="0" borderId="0" xfId="355" applyNumberFormat="1" applyFont="1" applyFill="1" applyBorder="1">
      <alignment/>
      <protection/>
    </xf>
    <xf numFmtId="49" fontId="19" fillId="0" borderId="22" xfId="355" applyNumberFormat="1" applyFont="1" applyFill="1" applyBorder="1" applyAlignment="1">
      <alignment/>
      <protection/>
    </xf>
    <xf numFmtId="49" fontId="5" fillId="0" borderId="22" xfId="355" applyNumberFormat="1" applyFont="1" applyFill="1" applyBorder="1" applyAlignment="1">
      <alignment horizontal="center"/>
      <protection/>
    </xf>
    <xf numFmtId="49" fontId="0" fillId="0" borderId="0" xfId="355" applyNumberFormat="1" applyFill="1" applyBorder="1">
      <alignment/>
      <protection/>
    </xf>
    <xf numFmtId="49" fontId="6" fillId="0" borderId="20" xfId="355" applyNumberFormat="1" applyFont="1" applyFill="1" applyBorder="1" applyAlignment="1">
      <alignment horizontal="center" vertical="center" wrapText="1"/>
      <protection/>
    </xf>
    <xf numFmtId="49" fontId="19" fillId="0" borderId="20" xfId="355" applyNumberFormat="1" applyFont="1" applyFill="1" applyBorder="1" applyAlignment="1">
      <alignment horizontal="center" vertical="center" wrapText="1"/>
      <protection/>
    </xf>
    <xf numFmtId="3" fontId="29" fillId="3" borderId="20" xfId="355" applyNumberFormat="1" applyFont="1" applyFill="1" applyBorder="1" applyAlignment="1">
      <alignment horizontal="center" vertical="center" wrapText="1"/>
      <protection/>
    </xf>
    <xf numFmtId="3" fontId="69" fillId="3" borderId="20" xfId="355" applyNumberFormat="1" applyFont="1" applyFill="1" applyBorder="1" applyAlignment="1">
      <alignment horizontal="center" vertical="center" wrapText="1"/>
      <protection/>
    </xf>
    <xf numFmtId="3" fontId="6" fillId="44" borderId="20" xfId="355" applyNumberFormat="1" applyFont="1" applyFill="1" applyBorder="1" applyAlignment="1">
      <alignment horizontal="center" vertical="center" wrapText="1"/>
      <protection/>
    </xf>
    <xf numFmtId="49" fontId="7" fillId="0" borderId="20" xfId="355" applyNumberFormat="1" applyFont="1" applyFill="1" applyBorder="1" applyAlignment="1">
      <alignment horizontal="center"/>
      <protection/>
    </xf>
    <xf numFmtId="49" fontId="7" fillId="0" borderId="20" xfId="355" applyNumberFormat="1" applyFont="1" applyFill="1" applyBorder="1" applyAlignment="1">
      <alignment horizontal="left"/>
      <protection/>
    </xf>
    <xf numFmtId="3" fontId="5" fillId="44" borderId="20" xfId="355" applyNumberFormat="1" applyFont="1" applyFill="1" applyBorder="1" applyAlignment="1">
      <alignment horizontal="center" vertical="center" wrapText="1"/>
      <protection/>
    </xf>
    <xf numFmtId="3" fontId="5" fillId="0" borderId="20" xfId="355" applyNumberFormat="1" applyFont="1" applyFill="1" applyBorder="1" applyAlignment="1">
      <alignment horizontal="center" vertical="center" wrapText="1"/>
      <protection/>
    </xf>
    <xf numFmtId="9" fontId="0" fillId="0" borderId="0" xfId="371" applyFont="1" applyFill="1" applyAlignment="1">
      <alignment/>
    </xf>
    <xf numFmtId="49" fontId="7" fillId="44" borderId="23" xfId="355" applyNumberFormat="1" applyFont="1" applyFill="1" applyBorder="1" applyAlignment="1">
      <alignment horizontal="center"/>
      <protection/>
    </xf>
    <xf numFmtId="49" fontId="7" fillId="44" borderId="20" xfId="355" applyNumberFormat="1" applyFont="1" applyFill="1" applyBorder="1" applyAlignment="1">
      <alignment horizontal="left"/>
      <protection/>
    </xf>
    <xf numFmtId="49" fontId="4" fillId="0" borderId="23" xfId="355" applyNumberFormat="1" applyFont="1" applyFill="1" applyBorder="1" applyAlignment="1">
      <alignment horizontal="center"/>
      <protection/>
    </xf>
    <xf numFmtId="49" fontId="4" fillId="47" borderId="20" xfId="355" applyNumberFormat="1" applyFont="1" applyFill="1" applyBorder="1" applyAlignment="1">
      <alignment horizontal="left"/>
      <protection/>
    </xf>
    <xf numFmtId="3" fontId="5" fillId="47" borderId="20" xfId="355" applyNumberFormat="1" applyFont="1" applyFill="1" applyBorder="1" applyAlignment="1">
      <alignment horizontal="center" vertical="center" wrapText="1"/>
      <protection/>
    </xf>
    <xf numFmtId="49" fontId="5" fillId="47" borderId="20" xfId="355" applyNumberFormat="1" applyFont="1" applyFill="1" applyBorder="1" applyAlignment="1">
      <alignment horizontal="left"/>
      <protection/>
    </xf>
    <xf numFmtId="49" fontId="6" fillId="0" borderId="19" xfId="355" applyNumberFormat="1" applyFont="1" applyFill="1" applyBorder="1" applyAlignment="1">
      <alignment horizontal="center"/>
      <protection/>
    </xf>
    <xf numFmtId="49" fontId="6" fillId="0" borderId="19" xfId="355" applyNumberFormat="1" applyFont="1" applyFill="1" applyBorder="1" applyAlignment="1">
      <alignment horizontal="left"/>
      <protection/>
    </xf>
    <xf numFmtId="3" fontId="5" fillId="0" borderId="19" xfId="355" applyNumberFormat="1" applyFont="1" applyFill="1" applyBorder="1" applyAlignment="1">
      <alignment horizontal="center" vertical="center" wrapText="1"/>
      <protection/>
    </xf>
    <xf numFmtId="49" fontId="15" fillId="0" borderId="0" xfId="355" applyNumberFormat="1" applyFont="1" applyFill="1" applyBorder="1" applyAlignment="1">
      <alignment vertical="center" wrapText="1"/>
      <protection/>
    </xf>
    <xf numFmtId="49" fontId="70" fillId="0" borderId="0" xfId="355" applyNumberFormat="1" applyFont="1" applyFill="1">
      <alignment/>
      <protection/>
    </xf>
    <xf numFmtId="49" fontId="4" fillId="0" borderId="0" xfId="355" applyNumberFormat="1" applyFont="1" applyFill="1">
      <alignment/>
      <protection/>
    </xf>
    <xf numFmtId="49" fontId="0" fillId="47" borderId="0" xfId="355" applyNumberFormat="1" applyFont="1" applyFill="1">
      <alignment/>
      <protection/>
    </xf>
    <xf numFmtId="49" fontId="3" fillId="47" borderId="0" xfId="355" applyNumberFormat="1" applyFont="1" applyFill="1" applyAlignment="1">
      <alignment horizontal="center"/>
      <protection/>
    </xf>
    <xf numFmtId="49" fontId="22" fillId="0" borderId="0" xfId="355" applyNumberFormat="1" applyFont="1" applyFill="1">
      <alignment/>
      <protection/>
    </xf>
    <xf numFmtId="49" fontId="3" fillId="0" borderId="0" xfId="355" applyNumberFormat="1" applyFont="1" applyFill="1">
      <alignment/>
      <protection/>
    </xf>
    <xf numFmtId="49" fontId="13" fillId="0" borderId="0" xfId="355" applyNumberFormat="1" applyFont="1" applyFill="1" applyAlignment="1">
      <alignment/>
      <protection/>
    </xf>
    <xf numFmtId="49" fontId="13" fillId="0" borderId="0" xfId="355" applyNumberFormat="1" applyFont="1" applyFill="1" applyAlignment="1">
      <alignment wrapText="1"/>
      <protection/>
    </xf>
    <xf numFmtId="49" fontId="13" fillId="0" borderId="0" xfId="355" applyNumberFormat="1" applyFont="1" applyFill="1" applyAlignment="1">
      <alignment horizontal="left" wrapText="1"/>
      <protection/>
    </xf>
    <xf numFmtId="49" fontId="0" fillId="0" borderId="0" xfId="355" applyNumberFormat="1" applyAlignment="1">
      <alignment horizontal="left"/>
      <protection/>
    </xf>
    <xf numFmtId="49" fontId="0" fillId="0" borderId="0" xfId="355" applyNumberFormat="1" applyFont="1" applyBorder="1" applyAlignment="1">
      <alignment horizontal="left"/>
      <protection/>
    </xf>
    <xf numFmtId="49" fontId="13" fillId="0" borderId="20" xfId="355" applyNumberFormat="1" applyFont="1" applyBorder="1" applyAlignment="1">
      <alignment horizontal="center"/>
      <protection/>
    </xf>
    <xf numFmtId="3" fontId="4" fillId="4" borderId="20" xfId="356" applyNumberFormat="1" applyFont="1" applyFill="1" applyBorder="1" applyAlignment="1">
      <alignment horizontal="center" vertical="center"/>
      <protection/>
    </xf>
    <xf numFmtId="3" fontId="32" fillId="47" borderId="20" xfId="355" applyNumberFormat="1" applyFont="1" applyFill="1" applyBorder="1" applyAlignment="1">
      <alignment horizontal="center" vertical="center"/>
      <protection/>
    </xf>
    <xf numFmtId="3" fontId="17" fillId="3" borderId="20" xfId="355" applyNumberFormat="1" applyFont="1" applyFill="1" applyBorder="1" applyAlignment="1">
      <alignment horizontal="center" vertical="center"/>
      <protection/>
    </xf>
    <xf numFmtId="3" fontId="34" fillId="3" borderId="20" xfId="355" applyNumberFormat="1" applyFont="1" applyFill="1" applyBorder="1" applyAlignment="1">
      <alignment horizontal="center" vertical="center"/>
      <protection/>
    </xf>
    <xf numFmtId="3" fontId="7" fillId="44" borderId="20" xfId="355" applyNumberFormat="1" applyFont="1" applyFill="1" applyBorder="1" applyAlignment="1">
      <alignment horizontal="center" vertical="center"/>
      <protection/>
    </xf>
    <xf numFmtId="3" fontId="7" fillId="44" borderId="20" xfId="355" applyNumberFormat="1" applyFont="1" applyFill="1" applyBorder="1" applyAlignment="1">
      <alignment horizontal="center" vertical="center"/>
      <protection/>
    </xf>
    <xf numFmtId="3" fontId="7" fillId="4" borderId="20" xfId="356" applyNumberFormat="1" applyFont="1" applyFill="1" applyBorder="1" applyAlignment="1">
      <alignment horizontal="center" vertical="center"/>
      <protection/>
    </xf>
    <xf numFmtId="49" fontId="7" fillId="0" borderId="20" xfId="355" applyNumberFormat="1" applyFont="1" applyBorder="1" applyAlignment="1">
      <alignment horizontal="center" vertical="center"/>
      <protection/>
    </xf>
    <xf numFmtId="49" fontId="7" fillId="47" borderId="20" xfId="355" applyNumberFormat="1" applyFont="1" applyFill="1" applyBorder="1" applyAlignment="1">
      <alignment horizontal="left" vertical="center"/>
      <protection/>
    </xf>
    <xf numFmtId="3" fontId="4" fillId="47" borderId="20" xfId="355" applyNumberFormat="1" applyFont="1" applyFill="1" applyBorder="1" applyAlignment="1">
      <alignment horizontal="center" vertical="center"/>
      <protection/>
    </xf>
    <xf numFmtId="3" fontId="4" fillId="44" borderId="20" xfId="355" applyNumberFormat="1" applyFont="1" applyFill="1" applyBorder="1" applyAlignment="1">
      <alignment horizontal="center" vertical="center"/>
      <protection/>
    </xf>
    <xf numFmtId="49" fontId="4" fillId="0" borderId="23" xfId="355" applyNumberFormat="1" applyFont="1" applyBorder="1" applyAlignment="1">
      <alignment horizontal="center" vertical="center"/>
      <protection/>
    </xf>
    <xf numFmtId="49" fontId="0" fillId="0" borderId="0" xfId="355" applyNumberFormat="1" applyFont="1" applyAlignment="1">
      <alignment vertical="center"/>
      <protection/>
    </xf>
    <xf numFmtId="3" fontId="4" fillId="0" borderId="20" xfId="355" applyNumberFormat="1" applyFont="1" applyFill="1" applyBorder="1" applyAlignment="1">
      <alignment horizontal="center" vertical="center"/>
      <protection/>
    </xf>
    <xf numFmtId="3" fontId="4" fillId="47" borderId="20" xfId="356" applyNumberFormat="1" applyFont="1" applyFill="1" applyBorder="1" applyAlignment="1">
      <alignment horizontal="center" vertical="center"/>
      <protection/>
    </xf>
    <xf numFmtId="49" fontId="4" fillId="47" borderId="23" xfId="355" applyNumberFormat="1" applyFont="1" applyFill="1" applyBorder="1" applyAlignment="1">
      <alignment horizontal="center" vertical="center"/>
      <protection/>
    </xf>
    <xf numFmtId="9" fontId="20" fillId="0" borderId="0" xfId="371" applyFont="1" applyAlignment="1">
      <alignment vertical="center"/>
    </xf>
    <xf numFmtId="49" fontId="4" fillId="0" borderId="0" xfId="355" applyNumberFormat="1" applyFont="1" applyBorder="1" applyAlignment="1">
      <alignment horizontal="center"/>
      <protection/>
    </xf>
    <xf numFmtId="49" fontId="4" fillId="47" borderId="0" xfId="355" applyNumberFormat="1" applyFont="1" applyFill="1" applyBorder="1" applyAlignment="1">
      <alignment horizontal="left"/>
      <protection/>
    </xf>
    <xf numFmtId="49" fontId="0" fillId="0" borderId="0" xfId="355" applyNumberFormat="1" applyFont="1" applyFill="1" applyBorder="1" applyAlignment="1">
      <alignment horizontal="center"/>
      <protection/>
    </xf>
    <xf numFmtId="3" fontId="4" fillId="47" borderId="19" xfId="356" applyNumberFormat="1" applyFont="1" applyFill="1" applyBorder="1" applyAlignment="1">
      <alignment horizontal="center" vertical="center"/>
      <protection/>
    </xf>
    <xf numFmtId="9" fontId="0" fillId="0" borderId="0" xfId="371" applyFont="1" applyAlignment="1">
      <alignment/>
    </xf>
    <xf numFmtId="49" fontId="28" fillId="0" borderId="0" xfId="355" applyNumberFormat="1" applyFont="1" applyBorder="1" applyAlignment="1">
      <alignment wrapText="1"/>
      <protection/>
    </xf>
    <xf numFmtId="3" fontId="4" fillId="47" borderId="0" xfId="356" applyNumberFormat="1" applyFont="1" applyFill="1" applyBorder="1" applyAlignment="1">
      <alignment horizontal="center" vertical="center"/>
      <protection/>
    </xf>
    <xf numFmtId="49" fontId="28" fillId="0" borderId="0" xfId="355" applyNumberFormat="1" applyFont="1" applyAlignment="1">
      <alignment wrapText="1"/>
      <protection/>
    </xf>
    <xf numFmtId="49" fontId="37" fillId="0" borderId="0" xfId="355" applyNumberFormat="1" applyFont="1">
      <alignment/>
      <protection/>
    </xf>
    <xf numFmtId="49" fontId="37" fillId="0" borderId="0" xfId="355" applyNumberFormat="1" applyFont="1" applyAlignment="1">
      <alignment wrapText="1"/>
      <protection/>
    </xf>
    <xf numFmtId="49" fontId="3" fillId="47" borderId="0" xfId="355" applyNumberFormat="1" applyFont="1" applyFill="1" applyAlignment="1">
      <alignment/>
      <protection/>
    </xf>
    <xf numFmtId="49" fontId="72" fillId="0" borderId="0" xfId="355" applyNumberFormat="1" applyFont="1">
      <alignment/>
      <protection/>
    </xf>
    <xf numFmtId="49" fontId="13" fillId="0" borderId="0" xfId="355" applyNumberFormat="1" applyFont="1" applyBorder="1" applyAlignment="1">
      <alignment wrapText="1"/>
      <protection/>
    </xf>
    <xf numFmtId="49" fontId="0" fillId="0" borderId="0" xfId="357" applyNumberFormat="1" applyFont="1" applyAlignment="1">
      <alignment horizontal="left"/>
      <protection/>
    </xf>
    <xf numFmtId="49" fontId="14" fillId="0" borderId="0" xfId="357" applyNumberFormat="1" applyFont="1" applyAlignment="1">
      <alignment wrapText="1"/>
      <protection/>
    </xf>
    <xf numFmtId="49" fontId="3" fillId="47" borderId="0" xfId="357" applyNumberFormat="1" applyFont="1" applyFill="1" applyBorder="1" applyAlignment="1">
      <alignment horizontal="left"/>
      <protection/>
    </xf>
    <xf numFmtId="49" fontId="0" fillId="47" borderId="0" xfId="357" applyNumberFormat="1" applyFont="1" applyFill="1" applyBorder="1" applyAlignment="1">
      <alignment horizontal="left"/>
      <protection/>
    </xf>
    <xf numFmtId="49" fontId="26" fillId="0" borderId="0" xfId="357" applyNumberFormat="1" applyFont="1">
      <alignment/>
      <protection/>
    </xf>
    <xf numFmtId="49" fontId="0" fillId="47" borderId="0" xfId="357" applyNumberFormat="1" applyFont="1" applyFill="1" applyBorder="1" applyAlignment="1">
      <alignment/>
      <protection/>
    </xf>
    <xf numFmtId="49" fontId="3" fillId="0" borderId="0" xfId="357" applyNumberFormat="1" applyFont="1" applyBorder="1" applyAlignment="1">
      <alignment horizontal="left"/>
      <protection/>
    </xf>
    <xf numFmtId="49" fontId="0" fillId="0" borderId="0" xfId="357" applyNumberFormat="1" applyFont="1" applyBorder="1" applyAlignment="1">
      <alignment horizontal="left"/>
      <protection/>
    </xf>
    <xf numFmtId="49" fontId="0" fillId="0" borderId="0" xfId="357" applyNumberFormat="1" applyFont="1" applyBorder="1" applyAlignment="1">
      <alignment/>
      <protection/>
    </xf>
    <xf numFmtId="49" fontId="18" fillId="0" borderId="22" xfId="357" applyNumberFormat="1" applyFont="1" applyBorder="1" applyAlignment="1">
      <alignment horizontal="left"/>
      <protection/>
    </xf>
    <xf numFmtId="49" fontId="3" fillId="0" borderId="22" xfId="357" applyNumberFormat="1" applyFont="1" applyBorder="1" applyAlignment="1">
      <alignment horizontal="left"/>
      <protection/>
    </xf>
    <xf numFmtId="49" fontId="26" fillId="0" borderId="0" xfId="357" applyNumberFormat="1" applyFont="1" applyFill="1">
      <alignment/>
      <protection/>
    </xf>
    <xf numFmtId="49" fontId="26" fillId="0" borderId="0" xfId="357" applyNumberFormat="1" applyFont="1" applyAlignment="1">
      <alignment vertical="center"/>
      <protection/>
    </xf>
    <xf numFmtId="49" fontId="6" fillId="47" borderId="20" xfId="357" applyNumberFormat="1" applyFont="1" applyFill="1" applyBorder="1" applyAlignment="1">
      <alignment horizontal="left" vertical="center"/>
      <protection/>
    </xf>
    <xf numFmtId="49" fontId="1" fillId="0" borderId="0" xfId="357" applyNumberFormat="1" applyFont="1">
      <alignment/>
      <protection/>
    </xf>
    <xf numFmtId="49" fontId="28" fillId="0" borderId="0" xfId="357" applyNumberFormat="1" applyFont="1" applyBorder="1" applyAlignment="1">
      <alignment/>
      <protection/>
    </xf>
    <xf numFmtId="49" fontId="79" fillId="0" borderId="0" xfId="357" applyNumberFormat="1" applyFont="1">
      <alignment/>
      <protection/>
    </xf>
    <xf numFmtId="49" fontId="25" fillId="0" borderId="0" xfId="357" applyNumberFormat="1" applyFont="1" applyBorder="1" applyAlignment="1">
      <alignment/>
      <protection/>
    </xf>
    <xf numFmtId="49" fontId="5" fillId="0" borderId="0" xfId="357" applyNumberFormat="1" applyFont="1">
      <alignment/>
      <protection/>
    </xf>
    <xf numFmtId="49" fontId="28" fillId="0" borderId="0" xfId="357" applyNumberFormat="1" applyFont="1" applyAlignment="1">
      <alignment horizontal="center"/>
      <protection/>
    </xf>
    <xf numFmtId="49" fontId="28" fillId="0" borderId="0" xfId="357" applyNumberFormat="1" applyFont="1">
      <alignment/>
      <protection/>
    </xf>
    <xf numFmtId="49" fontId="79" fillId="0" borderId="0" xfId="357" applyNumberFormat="1" applyFont="1" applyAlignment="1">
      <alignment horizontal="center"/>
      <protection/>
    </xf>
    <xf numFmtId="49" fontId="13" fillId="0" borderId="0" xfId="357" applyNumberFormat="1" applyFont="1" applyBorder="1" applyAlignment="1">
      <alignment wrapText="1"/>
      <protection/>
    </xf>
    <xf numFmtId="49" fontId="81" fillId="0" borderId="0" xfId="357" applyNumberFormat="1" applyFont="1">
      <alignment/>
      <protection/>
    </xf>
    <xf numFmtId="9" fontId="26" fillId="0" borderId="0" xfId="371" applyFont="1" applyAlignment="1">
      <alignment/>
    </xf>
    <xf numFmtId="3" fontId="0" fillId="47" borderId="0" xfId="357" applyNumberFormat="1" applyFont="1" applyFill="1" applyBorder="1" applyAlignment="1">
      <alignment/>
      <protection/>
    </xf>
    <xf numFmtId="0" fontId="26" fillId="0" borderId="0" xfId="357">
      <alignment/>
      <protection/>
    </xf>
    <xf numFmtId="0" fontId="0" fillId="0" borderId="0" xfId="357" applyFont="1" applyAlignment="1">
      <alignment horizontal="left"/>
      <protection/>
    </xf>
    <xf numFmtId="0" fontId="0" fillId="0" borderId="0" xfId="357" applyFont="1" applyBorder="1" applyAlignment="1">
      <alignment/>
      <protection/>
    </xf>
    <xf numFmtId="0" fontId="0" fillId="0" borderId="0" xfId="357" applyFont="1" applyBorder="1" applyAlignment="1">
      <alignment horizontal="left"/>
      <protection/>
    </xf>
    <xf numFmtId="0" fontId="26" fillId="0" borderId="0" xfId="357" applyFont="1">
      <alignment/>
      <protection/>
    </xf>
    <xf numFmtId="0" fontId="6" fillId="0" borderId="20" xfId="357" applyFont="1" applyBorder="1" applyAlignment="1">
      <alignment horizontal="center" vertical="center"/>
      <protection/>
    </xf>
    <xf numFmtId="0" fontId="6" fillId="47" borderId="20" xfId="357" applyFont="1" applyFill="1" applyBorder="1" applyAlignment="1">
      <alignment horizontal="left" vertical="center"/>
      <protection/>
    </xf>
    <xf numFmtId="9" fontId="26" fillId="0" borderId="0" xfId="371" applyFont="1" applyAlignment="1">
      <alignment vertical="center"/>
    </xf>
    <xf numFmtId="0" fontId="5" fillId="0" borderId="23" xfId="357" applyFont="1" applyBorder="1" applyAlignment="1">
      <alignment horizontal="center" vertical="center"/>
      <protection/>
    </xf>
    <xf numFmtId="0" fontId="26" fillId="0" borderId="0" xfId="357" applyFont="1" applyAlignment="1">
      <alignment vertical="center"/>
      <protection/>
    </xf>
    <xf numFmtId="0" fontId="1" fillId="0" borderId="0" xfId="357" applyFont="1">
      <alignment/>
      <protection/>
    </xf>
    <xf numFmtId="0" fontId="25" fillId="0" borderId="0" xfId="357" applyFont="1" applyBorder="1" applyAlignment="1">
      <alignment horizontal="center" wrapText="1"/>
      <protection/>
    </xf>
    <xf numFmtId="0" fontId="28" fillId="0" borderId="0" xfId="357" applyFont="1" applyBorder="1" applyAlignment="1">
      <alignment wrapText="1"/>
      <protection/>
    </xf>
    <xf numFmtId="0" fontId="25" fillId="0" borderId="0" xfId="357" applyNumberFormat="1" applyFont="1" applyBorder="1" applyAlignment="1">
      <alignment/>
      <protection/>
    </xf>
    <xf numFmtId="0" fontId="79" fillId="0" borderId="0" xfId="357" applyFont="1">
      <alignment/>
      <protection/>
    </xf>
    <xf numFmtId="0" fontId="25" fillId="0" borderId="0" xfId="357" applyNumberFormat="1" applyFont="1" applyBorder="1" applyAlignment="1">
      <alignment horizontal="center"/>
      <protection/>
    </xf>
    <xf numFmtId="0" fontId="5" fillId="0" borderId="0" xfId="357" applyFont="1">
      <alignment/>
      <protection/>
    </xf>
    <xf numFmtId="0" fontId="28" fillId="0" borderId="0" xfId="357" applyFont="1">
      <alignment/>
      <protection/>
    </xf>
    <xf numFmtId="0" fontId="25" fillId="0" borderId="0" xfId="355" applyFont="1" applyAlignment="1">
      <alignment/>
      <protection/>
    </xf>
    <xf numFmtId="49" fontId="19" fillId="0" borderId="0" xfId="357" applyNumberFormat="1" applyFont="1">
      <alignment/>
      <protection/>
    </xf>
    <xf numFmtId="49" fontId="4" fillId="47" borderId="0" xfId="357" applyNumberFormat="1" applyFont="1" applyFill="1" applyBorder="1" applyAlignment="1">
      <alignment horizontal="left"/>
      <protection/>
    </xf>
    <xf numFmtId="49" fontId="4" fillId="0" borderId="0" xfId="357" applyNumberFormat="1" applyFont="1" applyBorder="1" applyAlignment="1">
      <alignment horizontal="left"/>
      <protection/>
    </xf>
    <xf numFmtId="49" fontId="0" fillId="0" borderId="22" xfId="357" applyNumberFormat="1" applyFont="1" applyBorder="1" applyAlignment="1">
      <alignment/>
      <protection/>
    </xf>
    <xf numFmtId="49" fontId="6" fillId="0" borderId="20" xfId="357" applyNumberFormat="1" applyFont="1" applyFill="1" applyBorder="1" applyAlignment="1">
      <alignment horizontal="center" vertical="center" wrapText="1"/>
      <protection/>
    </xf>
    <xf numFmtId="49" fontId="5" fillId="0" borderId="24" xfId="357" applyNumberFormat="1" applyFont="1" applyFill="1" applyBorder="1">
      <alignment/>
      <protection/>
    </xf>
    <xf numFmtId="49" fontId="5" fillId="0" borderId="0" xfId="357" applyNumberFormat="1" applyFont="1" applyFill="1">
      <alignment/>
      <protection/>
    </xf>
    <xf numFmtId="49" fontId="24" fillId="0" borderId="0" xfId="357" applyNumberFormat="1" applyFont="1" applyFill="1">
      <alignment/>
      <protection/>
    </xf>
    <xf numFmtId="49" fontId="6" fillId="0" borderId="25" xfId="357" applyNumberFormat="1" applyFont="1" applyFill="1" applyBorder="1" applyAlignment="1">
      <alignment horizontal="center" vertical="center" wrapText="1"/>
      <protection/>
    </xf>
    <xf numFmtId="49" fontId="19" fillId="0" borderId="20" xfId="357" applyNumberFormat="1" applyFont="1" applyFill="1" applyBorder="1" applyAlignment="1">
      <alignment horizontal="center" vertical="center"/>
      <protection/>
    </xf>
    <xf numFmtId="49" fontId="19" fillId="0" borderId="20" xfId="357" applyNumberFormat="1" applyFont="1" applyBorder="1" applyAlignment="1">
      <alignment horizontal="center" vertical="center"/>
      <protection/>
    </xf>
    <xf numFmtId="49" fontId="5" fillId="0" borderId="0" xfId="357" applyNumberFormat="1" applyFont="1" applyAlignment="1">
      <alignment vertical="center"/>
      <protection/>
    </xf>
    <xf numFmtId="3" fontId="29" fillId="3" borderId="20" xfId="357" applyNumberFormat="1" applyFont="1" applyFill="1" applyBorder="1" applyAlignment="1">
      <alignment horizontal="center" vertical="center"/>
      <protection/>
    </xf>
    <xf numFmtId="3" fontId="69" fillId="3" borderId="20" xfId="357" applyNumberFormat="1" applyFont="1" applyFill="1" applyBorder="1" applyAlignment="1">
      <alignment horizontal="center" vertical="center"/>
      <protection/>
    </xf>
    <xf numFmtId="3" fontId="29" fillId="4" borderId="20" xfId="357" applyNumberFormat="1" applyFont="1" applyFill="1" applyBorder="1" applyAlignment="1">
      <alignment horizontal="center" vertical="center"/>
      <protection/>
    </xf>
    <xf numFmtId="3" fontId="6" fillId="44" borderId="20" xfId="357" applyNumberFormat="1" applyFont="1" applyFill="1" applyBorder="1" applyAlignment="1">
      <alignment horizontal="center" vertical="center"/>
      <protection/>
    </xf>
    <xf numFmtId="49" fontId="6" fillId="0" borderId="20" xfId="357" applyNumberFormat="1" applyFont="1" applyBorder="1" applyAlignment="1">
      <alignment horizontal="center" vertical="center"/>
      <protection/>
    </xf>
    <xf numFmtId="3" fontId="5" fillId="47" borderId="20" xfId="357" applyNumberFormat="1" applyFont="1" applyFill="1" applyBorder="1" applyAlignment="1">
      <alignment horizontal="center" vertical="center"/>
      <protection/>
    </xf>
    <xf numFmtId="49" fontId="6" fillId="0" borderId="23" xfId="357" applyNumberFormat="1" applyFont="1" applyBorder="1" applyAlignment="1">
      <alignment horizontal="center" vertical="center"/>
      <protection/>
    </xf>
    <xf numFmtId="49" fontId="5" fillId="0" borderId="23" xfId="357" applyNumberFormat="1" applyFont="1" applyBorder="1" applyAlignment="1">
      <alignment horizontal="center" vertical="center"/>
      <protection/>
    </xf>
    <xf numFmtId="3" fontId="5" fillId="0" borderId="20" xfId="357" applyNumberFormat="1" applyFont="1" applyBorder="1" applyAlignment="1">
      <alignment horizontal="center" vertical="center"/>
      <protection/>
    </xf>
    <xf numFmtId="49" fontId="87" fillId="0" borderId="0" xfId="357" applyNumberFormat="1" applyFont="1">
      <alignment/>
      <protection/>
    </xf>
    <xf numFmtId="49" fontId="26" fillId="0" borderId="0" xfId="357" applyNumberFormat="1">
      <alignment/>
      <protection/>
    </xf>
    <xf numFmtId="49" fontId="28" fillId="0" borderId="0" xfId="357" applyNumberFormat="1" applyFont="1" applyBorder="1" applyAlignment="1">
      <alignment wrapText="1"/>
      <protection/>
    </xf>
    <xf numFmtId="49" fontId="21" fillId="0" borderId="0" xfId="357" applyNumberFormat="1" applyFont="1">
      <alignment/>
      <protection/>
    </xf>
    <xf numFmtId="49" fontId="31" fillId="0" borderId="0" xfId="357" applyNumberFormat="1" applyFont="1">
      <alignment/>
      <protection/>
    </xf>
    <xf numFmtId="49" fontId="31" fillId="0" borderId="0" xfId="357" applyNumberFormat="1" applyFont="1" applyAlignment="1">
      <alignment horizontal="center"/>
      <protection/>
    </xf>
    <xf numFmtId="0" fontId="4" fillId="0" borderId="0" xfId="357" applyNumberFormat="1" applyFont="1" applyAlignment="1">
      <alignment horizontal="left"/>
      <protection/>
    </xf>
    <xf numFmtId="0" fontId="5" fillId="0" borderId="0" xfId="357" applyFont="1" applyAlignment="1">
      <alignment/>
      <protection/>
    </xf>
    <xf numFmtId="3" fontId="5" fillId="0" borderId="0" xfId="357" applyNumberFormat="1" applyFont="1">
      <alignment/>
      <protection/>
    </xf>
    <xf numFmtId="0" fontId="7" fillId="0" borderId="0" xfId="357" applyFont="1" applyBorder="1" applyAlignment="1">
      <alignment/>
      <protection/>
    </xf>
    <xf numFmtId="0" fontId="26" fillId="0" borderId="24" xfId="357" applyFont="1" applyBorder="1">
      <alignment/>
      <protection/>
    </xf>
    <xf numFmtId="0" fontId="26" fillId="0" borderId="0" xfId="357" applyFont="1" applyBorder="1">
      <alignment/>
      <protection/>
    </xf>
    <xf numFmtId="0" fontId="12" fillId="0" borderId="20" xfId="357" applyFont="1" applyBorder="1" applyAlignment="1">
      <alignment horizontal="center" vertical="center" wrapText="1"/>
      <protection/>
    </xf>
    <xf numFmtId="0" fontId="19" fillId="0" borderId="23" xfId="357" applyFont="1" applyFill="1" applyBorder="1" applyAlignment="1">
      <alignment horizontal="center" vertical="center"/>
      <protection/>
    </xf>
    <xf numFmtId="0" fontId="19" fillId="0" borderId="20" xfId="357" applyFont="1" applyFill="1" applyBorder="1" applyAlignment="1">
      <alignment horizontal="center" vertical="center"/>
      <protection/>
    </xf>
    <xf numFmtId="0" fontId="19" fillId="0" borderId="20" xfId="357" applyFont="1" applyBorder="1" applyAlignment="1">
      <alignment horizontal="center" vertical="center"/>
      <protection/>
    </xf>
    <xf numFmtId="3" fontId="20" fillId="3" borderId="20" xfId="357" applyNumberFormat="1" applyFont="1" applyFill="1" applyBorder="1" applyAlignment="1">
      <alignment horizontal="center" vertical="center"/>
      <protection/>
    </xf>
    <xf numFmtId="3" fontId="35" fillId="3" borderId="20" xfId="357" applyNumberFormat="1" applyFont="1" applyFill="1" applyBorder="1" applyAlignment="1">
      <alignment horizontal="center" vertical="center"/>
      <protection/>
    </xf>
    <xf numFmtId="3" fontId="3" fillId="44" borderId="23" xfId="357" applyNumberFormat="1" applyFont="1" applyFill="1" applyBorder="1" applyAlignment="1">
      <alignment horizontal="center" vertical="center"/>
      <protection/>
    </xf>
    <xf numFmtId="3" fontId="0" fillId="48" borderId="23" xfId="357" applyNumberFormat="1" applyFont="1" applyFill="1" applyBorder="1" applyAlignment="1">
      <alignment horizontal="center" vertical="center"/>
      <protection/>
    </xf>
    <xf numFmtId="3" fontId="0" fillId="0" borderId="20" xfId="357" applyNumberFormat="1" applyFont="1" applyBorder="1" applyAlignment="1">
      <alignment horizontal="center" vertical="center"/>
      <protection/>
    </xf>
    <xf numFmtId="3" fontId="0" fillId="0" borderId="26" xfId="357" applyNumberFormat="1" applyFont="1" applyBorder="1" applyAlignment="1">
      <alignment horizontal="center" vertical="center"/>
      <protection/>
    </xf>
    <xf numFmtId="0" fontId="6" fillId="0" borderId="23" xfId="357" applyFont="1" applyBorder="1" applyAlignment="1">
      <alignment horizontal="center" vertical="center"/>
      <protection/>
    </xf>
    <xf numFmtId="3" fontId="0" fillId="44" borderId="23" xfId="357" applyNumberFormat="1" applyFont="1" applyFill="1" applyBorder="1" applyAlignment="1">
      <alignment horizontal="center" vertical="center"/>
      <protection/>
    </xf>
    <xf numFmtId="3" fontId="0" fillId="47" borderId="20" xfId="357" applyNumberFormat="1" applyFont="1" applyFill="1" applyBorder="1" applyAlignment="1">
      <alignment horizontal="center" vertical="center"/>
      <protection/>
    </xf>
    <xf numFmtId="3" fontId="0" fillId="47" borderId="26" xfId="357" applyNumberFormat="1" applyFont="1" applyFill="1" applyBorder="1" applyAlignment="1">
      <alignment horizontal="center" vertical="center"/>
      <protection/>
    </xf>
    <xf numFmtId="0" fontId="28" fillId="0" borderId="0" xfId="357" applyNumberFormat="1" applyFont="1" applyBorder="1" applyAlignment="1">
      <alignment/>
      <protection/>
    </xf>
    <xf numFmtId="0" fontId="88" fillId="0" borderId="0" xfId="357" applyFont="1">
      <alignment/>
      <protection/>
    </xf>
    <xf numFmtId="0" fontId="16" fillId="0" borderId="0" xfId="357" applyFont="1">
      <alignment/>
      <protection/>
    </xf>
    <xf numFmtId="0" fontId="27" fillId="0" borderId="0" xfId="357" applyFont="1">
      <alignment/>
      <protection/>
    </xf>
    <xf numFmtId="0" fontId="13" fillId="0" borderId="0" xfId="357" applyFont="1">
      <alignment/>
      <protection/>
    </xf>
    <xf numFmtId="49" fontId="13" fillId="0" borderId="0" xfId="357" applyNumberFormat="1" applyFont="1">
      <alignment/>
      <protection/>
    </xf>
    <xf numFmtId="0" fontId="81" fillId="0" borderId="0" xfId="357" applyFont="1">
      <alignment/>
      <protection/>
    </xf>
    <xf numFmtId="49" fontId="18" fillId="0" borderId="0" xfId="357" applyNumberFormat="1" applyFont="1" applyBorder="1" applyAlignment="1">
      <alignment/>
      <protection/>
    </xf>
    <xf numFmtId="49" fontId="26" fillId="0" borderId="0" xfId="357" applyNumberFormat="1" applyFont="1" applyAlignment="1">
      <alignment horizontal="center"/>
      <protection/>
    </xf>
    <xf numFmtId="3" fontId="19" fillId="47" borderId="22" xfId="357" applyNumberFormat="1" applyFont="1" applyFill="1" applyBorder="1" applyAlignment="1">
      <alignment horizontal="center"/>
      <protection/>
    </xf>
    <xf numFmtId="49" fontId="5" fillId="0" borderId="22" xfId="357" applyNumberFormat="1" applyFont="1" applyBorder="1" applyAlignment="1">
      <alignment/>
      <protection/>
    </xf>
    <xf numFmtId="49" fontId="26" fillId="0" borderId="0" xfId="357" applyNumberFormat="1" applyFill="1">
      <alignment/>
      <protection/>
    </xf>
    <xf numFmtId="49" fontId="26" fillId="0" borderId="0" xfId="357" applyNumberFormat="1" applyFill="1" applyAlignment="1">
      <alignment vertical="center" wrapText="1"/>
      <protection/>
    </xf>
    <xf numFmtId="49" fontId="26" fillId="0" borderId="0" xfId="357" applyNumberFormat="1" applyAlignment="1">
      <alignment vertical="center"/>
      <protection/>
    </xf>
    <xf numFmtId="3" fontId="5" fillId="44" borderId="20" xfId="357" applyNumberFormat="1" applyFont="1" applyFill="1" applyBorder="1" applyAlignment="1">
      <alignment horizontal="center" vertical="center"/>
      <protection/>
    </xf>
    <xf numFmtId="3" fontId="26" fillId="0" borderId="20" xfId="357" applyNumberFormat="1" applyFont="1" applyBorder="1" applyAlignment="1">
      <alignment horizontal="center" vertical="center"/>
      <protection/>
    </xf>
    <xf numFmtId="0" fontId="5" fillId="0" borderId="20" xfId="357" applyFont="1" applyBorder="1" applyAlignment="1">
      <alignment horizontal="center" vertical="center"/>
      <protection/>
    </xf>
    <xf numFmtId="3" fontId="5" fillId="0" borderId="20" xfId="357" applyNumberFormat="1" applyFont="1" applyFill="1" applyBorder="1" applyAlignment="1">
      <alignment horizontal="center" vertical="center"/>
      <protection/>
    </xf>
    <xf numFmtId="3" fontId="26" fillId="0" borderId="20" xfId="357" applyNumberFormat="1" applyFont="1" applyFill="1" applyBorder="1" applyAlignment="1">
      <alignment horizontal="center" vertical="center"/>
      <protection/>
    </xf>
    <xf numFmtId="49" fontId="26" fillId="0" borderId="0" xfId="357" applyNumberFormat="1" applyAlignment="1">
      <alignment horizontal="center"/>
      <protection/>
    </xf>
    <xf numFmtId="49" fontId="72" fillId="0" borderId="0" xfId="357" applyNumberFormat="1" applyFont="1" applyAlignment="1">
      <alignment horizontal="left"/>
      <protection/>
    </xf>
    <xf numFmtId="49" fontId="31" fillId="0" borderId="0" xfId="357" applyNumberFormat="1" applyFont="1" applyAlignment="1">
      <alignment/>
      <protection/>
    </xf>
    <xf numFmtId="49" fontId="3" fillId="47" borderId="0" xfId="357" applyNumberFormat="1" applyFont="1" applyFill="1" applyBorder="1" applyAlignment="1">
      <alignment/>
      <protection/>
    </xf>
    <xf numFmtId="49" fontId="3" fillId="0" borderId="0" xfId="357" applyNumberFormat="1" applyFont="1" applyAlignment="1">
      <alignment/>
      <protection/>
    </xf>
    <xf numFmtId="49" fontId="3" fillId="0" borderId="0" xfId="357" applyNumberFormat="1" applyFont="1" applyBorder="1" applyAlignment="1">
      <alignment/>
      <protection/>
    </xf>
    <xf numFmtId="49" fontId="6" fillId="0" borderId="22" xfId="357" applyNumberFormat="1" applyFont="1" applyBorder="1" applyAlignment="1">
      <alignment/>
      <protection/>
    </xf>
    <xf numFmtId="3" fontId="19" fillId="0" borderId="20" xfId="357" applyNumberFormat="1" applyFont="1" applyBorder="1" applyAlignment="1">
      <alignment horizontal="center" vertical="center"/>
      <protection/>
    </xf>
    <xf numFmtId="49" fontId="26" fillId="47" borderId="0" xfId="357" applyNumberFormat="1" applyFont="1" applyFill="1" applyAlignment="1">
      <alignment vertical="center"/>
      <protection/>
    </xf>
    <xf numFmtId="3" fontId="26" fillId="47" borderId="20" xfId="357" applyNumberFormat="1" applyFont="1" applyFill="1" applyBorder="1" applyAlignment="1">
      <alignment horizontal="center" vertical="center"/>
      <protection/>
    </xf>
    <xf numFmtId="3" fontId="91" fillId="0" borderId="20" xfId="357" applyNumberFormat="1" applyFont="1" applyBorder="1" applyAlignment="1">
      <alignment horizontal="center" vertical="center"/>
      <protection/>
    </xf>
    <xf numFmtId="0" fontId="5" fillId="0" borderId="19" xfId="357" applyFont="1" applyFill="1" applyBorder="1" applyAlignment="1">
      <alignment horizontal="center" vertical="center"/>
      <protection/>
    </xf>
    <xf numFmtId="49" fontId="6" fillId="0" borderId="19" xfId="355" applyNumberFormat="1" applyFont="1" applyFill="1" applyBorder="1" applyAlignment="1">
      <alignment horizontal="left" vertical="center"/>
      <protection/>
    </xf>
    <xf numFmtId="3" fontId="5" fillId="0" borderId="19" xfId="357" applyNumberFormat="1" applyFont="1" applyFill="1" applyBorder="1" applyAlignment="1">
      <alignment horizontal="center" vertical="center"/>
      <protection/>
    </xf>
    <xf numFmtId="3" fontId="19" fillId="0" borderId="19" xfId="357" applyNumberFormat="1" applyFont="1" applyFill="1" applyBorder="1" applyAlignment="1">
      <alignment horizontal="center" vertical="center"/>
      <protection/>
    </xf>
    <xf numFmtId="3" fontId="26" fillId="0" borderId="19" xfId="357" applyNumberFormat="1" applyFont="1" applyFill="1" applyBorder="1" applyAlignment="1">
      <alignment vertical="center"/>
      <protection/>
    </xf>
    <xf numFmtId="3" fontId="92" fillId="0" borderId="19" xfId="357" applyNumberFormat="1" applyFont="1" applyFill="1" applyBorder="1" applyAlignment="1">
      <alignment vertical="center"/>
      <protection/>
    </xf>
    <xf numFmtId="49" fontId="31" fillId="0" borderId="0" xfId="357" applyNumberFormat="1" applyFont="1" applyBorder="1" applyAlignment="1">
      <alignment/>
      <protection/>
    </xf>
    <xf numFmtId="49" fontId="28" fillId="0" borderId="0" xfId="357" applyNumberFormat="1" applyFont="1" applyBorder="1" applyAlignment="1">
      <alignment horizontal="center"/>
      <protection/>
    </xf>
    <xf numFmtId="49" fontId="28" fillId="0" borderId="0" xfId="357" applyNumberFormat="1" applyFont="1" applyAlignment="1">
      <alignment/>
      <protection/>
    </xf>
    <xf numFmtId="0" fontId="5" fillId="47" borderId="0" xfId="357" applyFont="1" applyFill="1" applyBorder="1" applyAlignment="1">
      <alignment/>
      <protection/>
    </xf>
    <xf numFmtId="49" fontId="93" fillId="0" borderId="0" xfId="357" applyNumberFormat="1" applyFont="1">
      <alignment/>
      <protection/>
    </xf>
    <xf numFmtId="49" fontId="94" fillId="0" borderId="0" xfId="357" applyNumberFormat="1" applyFont="1">
      <alignment/>
      <protection/>
    </xf>
    <xf numFmtId="49" fontId="95" fillId="0" borderId="0" xfId="357" applyNumberFormat="1" applyFont="1" applyAlignment="1">
      <alignment horizontal="center"/>
      <protection/>
    </xf>
    <xf numFmtId="49" fontId="25" fillId="47" borderId="0" xfId="355" applyNumberFormat="1" applyFont="1" applyFill="1" applyAlignment="1">
      <alignment/>
      <protection/>
    </xf>
    <xf numFmtId="49" fontId="80" fillId="0" borderId="0" xfId="357" applyNumberFormat="1" applyFont="1">
      <alignment/>
      <protection/>
    </xf>
    <xf numFmtId="49" fontId="31" fillId="0" borderId="0" xfId="357" applyNumberFormat="1" applyFont="1" applyBorder="1" applyAlignment="1">
      <alignment wrapText="1"/>
      <protection/>
    </xf>
    <xf numFmtId="49" fontId="83" fillId="0" borderId="0" xfId="357" applyNumberFormat="1" applyFont="1">
      <alignment/>
      <protection/>
    </xf>
    <xf numFmtId="49" fontId="78" fillId="0" borderId="0" xfId="357" applyNumberFormat="1" applyFont="1">
      <alignment/>
      <protection/>
    </xf>
    <xf numFmtId="49" fontId="14" fillId="0" borderId="0" xfId="357" applyNumberFormat="1" applyFont="1" applyFill="1" applyAlignment="1">
      <alignment wrapText="1"/>
      <protection/>
    </xf>
    <xf numFmtId="49" fontId="0" fillId="0" borderId="0" xfId="357" applyNumberFormat="1" applyFont="1" applyFill="1" applyBorder="1" applyAlignment="1">
      <alignment/>
      <protection/>
    </xf>
    <xf numFmtId="49" fontId="3" fillId="0" borderId="0" xfId="357" applyNumberFormat="1" applyFont="1" applyFill="1" applyBorder="1" applyAlignment="1">
      <alignment/>
      <protection/>
    </xf>
    <xf numFmtId="49" fontId="96" fillId="0" borderId="0" xfId="357" applyNumberFormat="1" applyFont="1" applyFill="1">
      <alignment/>
      <protection/>
    </xf>
    <xf numFmtId="49" fontId="26" fillId="0" borderId="0" xfId="357" applyNumberFormat="1" applyFont="1" applyFill="1" applyAlignment="1">
      <alignment horizontal="center"/>
      <protection/>
    </xf>
    <xf numFmtId="49" fontId="19" fillId="0" borderId="0" xfId="357" applyNumberFormat="1" applyFont="1" applyFill="1" applyBorder="1" applyAlignment="1">
      <alignment/>
      <protection/>
    </xf>
    <xf numFmtId="49" fontId="6" fillId="0" borderId="0" xfId="357" applyNumberFormat="1" applyFont="1" applyFill="1" applyBorder="1" applyAlignment="1">
      <alignment/>
      <protection/>
    </xf>
    <xf numFmtId="49" fontId="82" fillId="0" borderId="0" xfId="357" applyNumberFormat="1" applyFont="1" applyFill="1">
      <alignment/>
      <protection/>
    </xf>
    <xf numFmtId="49" fontId="82" fillId="0" borderId="0" xfId="357" applyNumberFormat="1" applyFont="1" applyFill="1" applyAlignment="1">
      <alignment/>
      <protection/>
    </xf>
    <xf numFmtId="49" fontId="19" fillId="0" borderId="27" xfId="357" applyNumberFormat="1" applyFont="1" applyFill="1" applyBorder="1" applyAlignment="1">
      <alignment horizontal="center" vertical="center"/>
      <protection/>
    </xf>
    <xf numFmtId="3" fontId="6" fillId="44" borderId="27" xfId="357" applyNumberFormat="1" applyFont="1" applyFill="1" applyBorder="1" applyAlignment="1">
      <alignment horizontal="center" vertical="center"/>
      <protection/>
    </xf>
    <xf numFmtId="3" fontId="6" fillId="44" borderId="23" xfId="357" applyNumberFormat="1" applyFont="1" applyFill="1" applyBorder="1" applyAlignment="1">
      <alignment horizontal="center" vertical="center"/>
      <protection/>
    </xf>
    <xf numFmtId="49" fontId="3" fillId="0" borderId="0" xfId="357" applyNumberFormat="1" applyFont="1" applyAlignment="1">
      <alignment horizontal="center"/>
      <protection/>
    </xf>
    <xf numFmtId="49" fontId="25" fillId="0" borderId="0" xfId="357" applyNumberFormat="1" applyFont="1">
      <alignment/>
      <protection/>
    </xf>
    <xf numFmtId="49" fontId="3" fillId="0" borderId="0" xfId="357" applyNumberFormat="1" applyFont="1">
      <alignment/>
      <protection/>
    </xf>
    <xf numFmtId="49" fontId="28" fillId="0" borderId="0" xfId="357" applyNumberFormat="1" applyFont="1">
      <alignment/>
      <protection/>
    </xf>
    <xf numFmtId="3" fontId="3" fillId="47" borderId="0" xfId="357" applyNumberFormat="1" applyFont="1" applyFill="1" applyBorder="1" applyAlignment="1">
      <alignment/>
      <protection/>
    </xf>
    <xf numFmtId="0" fontId="3" fillId="0" borderId="0" xfId="357" applyFont="1">
      <alignment/>
      <protection/>
    </xf>
    <xf numFmtId="0" fontId="4" fillId="0" borderId="0" xfId="357" applyFont="1" applyBorder="1" applyAlignment="1">
      <alignment horizontal="left"/>
      <protection/>
    </xf>
    <xf numFmtId="3" fontId="0" fillId="0" borderId="0" xfId="357" applyNumberFormat="1" applyFont="1" applyAlignment="1">
      <alignment horizontal="left"/>
      <protection/>
    </xf>
    <xf numFmtId="0" fontId="13" fillId="0" borderId="0" xfId="357" applyFont="1" applyBorder="1" applyAlignment="1">
      <alignment/>
      <protection/>
    </xf>
    <xf numFmtId="0" fontId="7" fillId="0" borderId="20" xfId="357" applyFont="1" applyFill="1" applyBorder="1" applyAlignment="1">
      <alignment horizontal="center" vertical="center" wrapText="1"/>
      <protection/>
    </xf>
    <xf numFmtId="0" fontId="3" fillId="0" borderId="0" xfId="357" applyFont="1" applyFill="1" applyBorder="1">
      <alignment/>
      <protection/>
    </xf>
    <xf numFmtId="0" fontId="3" fillId="0" borderId="0" xfId="357" applyFont="1" applyFill="1">
      <alignment/>
      <protection/>
    </xf>
    <xf numFmtId="3" fontId="18" fillId="0" borderId="20" xfId="357" applyNumberFormat="1" applyFont="1" applyBorder="1" applyAlignment="1">
      <alignment horizontal="center" vertical="center"/>
      <protection/>
    </xf>
    <xf numFmtId="0" fontId="0" fillId="0" borderId="0" xfId="357" applyFont="1" applyAlignment="1">
      <alignment horizontal="center" vertical="center"/>
      <protection/>
    </xf>
    <xf numFmtId="3" fontId="4" fillId="44" borderId="20" xfId="357" applyNumberFormat="1" applyFont="1" applyFill="1" applyBorder="1" applyAlignment="1">
      <alignment horizontal="center" vertical="center"/>
      <protection/>
    </xf>
    <xf numFmtId="0" fontId="3" fillId="0" borderId="0" xfId="357" applyFont="1" applyAlignment="1">
      <alignment vertical="center"/>
      <protection/>
    </xf>
    <xf numFmtId="9" fontId="3" fillId="0" borderId="0" xfId="371" applyFont="1" applyAlignment="1">
      <alignment vertical="center"/>
    </xf>
    <xf numFmtId="0" fontId="3" fillId="0" borderId="0" xfId="357" applyFont="1" applyAlignment="1">
      <alignment horizontal="center"/>
      <protection/>
    </xf>
    <xf numFmtId="0" fontId="25" fillId="0" borderId="0" xfId="357" applyFont="1">
      <alignment/>
      <protection/>
    </xf>
    <xf numFmtId="0" fontId="72" fillId="0" borderId="0" xfId="357" applyFont="1" applyAlignment="1">
      <alignment horizontal="center"/>
      <protection/>
    </xf>
    <xf numFmtId="49" fontId="52" fillId="0" borderId="0" xfId="357" applyNumberFormat="1" applyFont="1">
      <alignment/>
      <protection/>
    </xf>
    <xf numFmtId="49" fontId="97" fillId="0" borderId="0" xfId="357" applyNumberFormat="1" applyFont="1" applyBorder="1" applyAlignment="1">
      <alignment wrapText="1"/>
      <protection/>
    </xf>
    <xf numFmtId="0" fontId="31" fillId="0" borderId="0" xfId="357"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2" fillId="47" borderId="28" xfId="0" applyNumberFormat="1" applyFont="1" applyFill="1" applyBorder="1" applyAlignment="1">
      <alignment/>
    </xf>
    <xf numFmtId="3" fontId="4" fillId="47" borderId="25" xfId="352"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4" fillId="47" borderId="28" xfId="352"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4" fillId="47" borderId="29" xfId="352"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28" fillId="47" borderId="20" xfId="0" applyNumberFormat="1" applyFont="1" applyFill="1" applyBorder="1" applyAlignment="1">
      <alignment/>
    </xf>
    <xf numFmtId="3" fontId="28" fillId="47" borderId="20" xfId="352" applyNumberFormat="1" applyFont="1" applyFill="1" applyBorder="1" applyAlignment="1" applyProtection="1">
      <alignment horizontal="center" vertical="center"/>
      <protection/>
    </xf>
    <xf numFmtId="49" fontId="31" fillId="47" borderId="20" xfId="0" applyNumberFormat="1" applyFont="1" applyFill="1" applyBorder="1" applyAlignment="1">
      <alignment/>
    </xf>
    <xf numFmtId="3" fontId="31" fillId="47" borderId="20" xfId="352" applyNumberFormat="1" applyFont="1" applyFill="1" applyBorder="1" applyAlignment="1" applyProtection="1">
      <alignment horizontal="center" vertical="center"/>
      <protection/>
    </xf>
    <xf numFmtId="49" fontId="28" fillId="47" borderId="20" xfId="0" applyNumberFormat="1" applyFont="1" applyFill="1" applyBorder="1" applyAlignment="1">
      <alignment/>
    </xf>
    <xf numFmtId="49" fontId="52" fillId="47" borderId="20" xfId="0" applyNumberFormat="1" applyFont="1" applyFill="1" applyBorder="1" applyAlignment="1">
      <alignment/>
    </xf>
    <xf numFmtId="3" fontId="52" fillId="47" borderId="20" xfId="352" applyNumberFormat="1" applyFont="1" applyFill="1" applyBorder="1" applyAlignment="1" applyProtection="1">
      <alignment horizontal="center" vertical="center"/>
      <protection/>
    </xf>
    <xf numFmtId="10" fontId="28" fillId="0" borderId="20" xfId="224" applyNumberFormat="1" applyFont="1" applyFill="1" applyBorder="1" applyAlignment="1">
      <alignment horizontal="center" vertical="center"/>
      <protection/>
    </xf>
    <xf numFmtId="10" fontId="52" fillId="0" borderId="20" xfId="224" applyNumberFormat="1" applyFont="1" applyFill="1" applyBorder="1" applyAlignment="1">
      <alignment horizontal="center" vertical="center"/>
      <protection/>
    </xf>
    <xf numFmtId="49" fontId="0" fillId="47" borderId="20" xfId="0" applyNumberFormat="1" applyFill="1" applyBorder="1" applyAlignment="1">
      <alignment/>
    </xf>
    <xf numFmtId="49" fontId="20" fillId="47" borderId="20" xfId="0" applyNumberFormat="1" applyFont="1" applyFill="1" applyBorder="1" applyAlignment="1">
      <alignment/>
    </xf>
    <xf numFmtId="49" fontId="25" fillId="47" borderId="34" xfId="0" applyNumberFormat="1" applyFont="1" applyFill="1" applyBorder="1" applyAlignment="1">
      <alignment/>
    </xf>
    <xf numFmtId="49" fontId="25" fillId="47" borderId="32" xfId="0" applyNumberFormat="1" applyFont="1" applyFill="1" applyBorder="1" applyAlignment="1">
      <alignment/>
    </xf>
    <xf numFmtId="49" fontId="57" fillId="47" borderId="20" xfId="0" applyNumberFormat="1" applyFont="1" applyFill="1" applyBorder="1" applyAlignment="1">
      <alignment/>
    </xf>
    <xf numFmtId="10" fontId="57" fillId="0" borderId="20" xfId="224" applyNumberFormat="1" applyFont="1" applyFill="1" applyBorder="1" applyAlignment="1">
      <alignment horizontal="center" vertical="center"/>
      <protection/>
    </xf>
    <xf numFmtId="3" fontId="57" fillId="47" borderId="20" xfId="352" applyNumberFormat="1" applyFont="1" applyFill="1" applyBorder="1" applyAlignment="1" applyProtection="1">
      <alignment horizontal="center" vertical="center"/>
      <protection/>
    </xf>
    <xf numFmtId="49" fontId="100" fillId="47" borderId="20" xfId="0" applyNumberFormat="1" applyFont="1" applyFill="1" applyBorder="1" applyAlignment="1">
      <alignment/>
    </xf>
    <xf numFmtId="49" fontId="57" fillId="47" borderId="35" xfId="0" applyNumberFormat="1" applyFont="1" applyFill="1" applyBorder="1" applyAlignment="1">
      <alignment/>
    </xf>
    <xf numFmtId="3" fontId="57" fillId="47" borderId="19" xfId="352" applyNumberFormat="1" applyFont="1" applyFill="1" applyBorder="1" applyAlignment="1" applyProtection="1">
      <alignment horizontal="center" vertical="center"/>
      <protection/>
    </xf>
    <xf numFmtId="10" fontId="57" fillId="0" borderId="36" xfId="224" applyNumberFormat="1" applyFont="1" applyFill="1" applyBorder="1" applyAlignment="1">
      <alignment horizontal="center" vertical="center"/>
      <protection/>
    </xf>
    <xf numFmtId="49" fontId="0" fillId="47" borderId="27" xfId="0" applyNumberFormat="1" applyFont="1" applyFill="1" applyBorder="1" applyAlignment="1">
      <alignment/>
    </xf>
    <xf numFmtId="3" fontId="4" fillId="47" borderId="22" xfId="352" applyNumberFormat="1" applyFont="1" applyFill="1" applyBorder="1" applyAlignment="1" applyProtection="1">
      <alignment horizontal="center" vertical="center"/>
      <protection/>
    </xf>
    <xf numFmtId="3" fontId="4" fillId="47" borderId="37" xfId="352" applyNumberFormat="1" applyFont="1" applyFill="1" applyBorder="1" applyAlignment="1" applyProtection="1">
      <alignment horizontal="center" vertical="center"/>
      <protection/>
    </xf>
    <xf numFmtId="49" fontId="35" fillId="47" borderId="20" xfId="0" applyNumberFormat="1" applyFont="1" applyFill="1" applyBorder="1" applyAlignment="1">
      <alignment/>
    </xf>
    <xf numFmtId="49" fontId="4" fillId="0" borderId="0" xfId="0" applyNumberFormat="1" applyFont="1" applyFill="1" applyBorder="1" applyAlignment="1">
      <alignment/>
    </xf>
    <xf numFmtId="49" fontId="101" fillId="0" borderId="0" xfId="0" applyNumberFormat="1" applyFont="1" applyFill="1" applyBorder="1" applyAlignment="1">
      <alignment/>
    </xf>
    <xf numFmtId="49" fontId="28" fillId="0" borderId="0" xfId="0" applyNumberFormat="1" applyFont="1" applyFill="1" applyAlignment="1">
      <alignment/>
    </xf>
    <xf numFmtId="49" fontId="0" fillId="0" borderId="0" xfId="0" applyNumberFormat="1" applyFont="1" applyFill="1" applyAlignment="1">
      <alignment/>
    </xf>
    <xf numFmtId="0" fontId="0" fillId="0" borderId="20" xfId="0" applyBorder="1" applyAlignment="1">
      <alignment/>
    </xf>
    <xf numFmtId="0" fontId="0" fillId="49" borderId="20" xfId="0" applyFill="1" applyBorder="1" applyAlignment="1">
      <alignment/>
    </xf>
    <xf numFmtId="0" fontId="0" fillId="0" borderId="38" xfId="0" applyFill="1" applyBorder="1" applyAlignment="1">
      <alignment/>
    </xf>
    <xf numFmtId="0" fontId="28" fillId="0" borderId="0" xfId="0" applyNumberFormat="1" applyFont="1" applyFill="1" applyAlignment="1">
      <alignment/>
    </xf>
    <xf numFmtId="0" fontId="28" fillId="0" borderId="0" xfId="0" applyNumberFormat="1" applyFont="1" applyFill="1" applyAlignment="1">
      <alignment horizontal="left"/>
    </xf>
    <xf numFmtId="0" fontId="28" fillId="0" borderId="0" xfId="0" applyNumberFormat="1" applyFont="1" applyFill="1" applyAlignment="1">
      <alignment/>
    </xf>
    <xf numFmtId="0" fontId="28" fillId="0" borderId="0" xfId="0" applyNumberFormat="1" applyFont="1" applyFill="1" applyAlignment="1">
      <alignment wrapText="1"/>
    </xf>
    <xf numFmtId="0" fontId="20" fillId="49" borderId="20" xfId="0" applyFont="1" applyFill="1" applyBorder="1" applyAlignment="1">
      <alignment/>
    </xf>
    <xf numFmtId="0" fontId="0" fillId="49" borderId="20" xfId="0" applyFont="1" applyFill="1" applyBorder="1" applyAlignment="1">
      <alignment/>
    </xf>
    <xf numFmtId="49" fontId="4" fillId="0" borderId="0" xfId="0" applyNumberFormat="1" applyFont="1" applyFill="1" applyAlignment="1">
      <alignment horizontal="left"/>
    </xf>
    <xf numFmtId="0" fontId="28" fillId="0" borderId="0" xfId="0" applyNumberFormat="1" applyFont="1" applyFill="1" applyAlignment="1">
      <alignment horizontal="left" wrapText="1"/>
    </xf>
    <xf numFmtId="49" fontId="28" fillId="0" borderId="0" xfId="0" applyNumberFormat="1" applyFont="1" applyFill="1" applyAlignment="1">
      <alignment horizontal="left"/>
    </xf>
    <xf numFmtId="49" fontId="0" fillId="0" borderId="0" xfId="0" applyNumberFormat="1" applyFont="1" applyFill="1" applyAlignment="1">
      <alignment horizontal="left"/>
    </xf>
    <xf numFmtId="49" fontId="0" fillId="0" borderId="0" xfId="0" applyNumberFormat="1" applyFont="1" applyFill="1" applyBorder="1" applyAlignment="1">
      <alignment horizontal="left"/>
    </xf>
    <xf numFmtId="49" fontId="0" fillId="0" borderId="20" xfId="0" applyNumberFormat="1" applyFont="1" applyFill="1" applyBorder="1" applyAlignment="1">
      <alignment horizontal="left"/>
    </xf>
    <xf numFmtId="49" fontId="1" fillId="0" borderId="0" xfId="0" applyNumberFormat="1" applyFont="1" applyFill="1" applyBorder="1" applyAlignment="1">
      <alignment horizontal="left"/>
    </xf>
    <xf numFmtId="210" fontId="0" fillId="0" borderId="0" xfId="0" applyNumberFormat="1" applyFont="1" applyFill="1" applyAlignment="1">
      <alignment horizontal="left"/>
    </xf>
    <xf numFmtId="0" fontId="20" fillId="49" borderId="20" xfId="0" applyFont="1" applyFill="1" applyBorder="1" applyAlignment="1">
      <alignment wrapText="1"/>
    </xf>
    <xf numFmtId="0" fontId="0" fillId="49" borderId="38" xfId="0" applyFill="1" applyBorder="1" applyAlignment="1">
      <alignment/>
    </xf>
    <xf numFmtId="210" fontId="20" fillId="0" borderId="0" xfId="0" applyNumberFormat="1" applyFont="1" applyFill="1" applyAlignment="1">
      <alignment horizontal="left"/>
    </xf>
    <xf numFmtId="49" fontId="32" fillId="0" borderId="0" xfId="0" applyNumberFormat="1" applyFont="1" applyFill="1" applyAlignment="1">
      <alignment/>
    </xf>
    <xf numFmtId="49" fontId="52" fillId="0" borderId="0" xfId="0" applyNumberFormat="1" applyFont="1" applyFill="1" applyAlignment="1">
      <alignment/>
    </xf>
    <xf numFmtId="4" fontId="0" fillId="0" borderId="0" xfId="0" applyNumberFormat="1" applyFont="1" applyFill="1" applyAlignment="1">
      <alignment horizontal="left"/>
    </xf>
    <xf numFmtId="49" fontId="5" fillId="0" borderId="0" xfId="0" applyNumberFormat="1" applyFont="1" applyFill="1" applyAlignment="1">
      <alignment horizontal="left"/>
    </xf>
    <xf numFmtId="49" fontId="24" fillId="0" borderId="0" xfId="0" applyNumberFormat="1" applyFont="1" applyFill="1" applyAlignment="1">
      <alignment horizontal="left"/>
    </xf>
    <xf numFmtId="49" fontId="0" fillId="49" borderId="0" xfId="0" applyNumberFormat="1" applyFont="1" applyFill="1" applyAlignment="1">
      <alignment/>
    </xf>
    <xf numFmtId="0" fontId="52" fillId="0" borderId="0" xfId="0" applyNumberFormat="1" applyFont="1" applyFill="1" applyAlignment="1">
      <alignment/>
    </xf>
    <xf numFmtId="0" fontId="52" fillId="0" borderId="0" xfId="0" applyNumberFormat="1" applyFont="1" applyFill="1" applyAlignment="1">
      <alignment/>
    </xf>
    <xf numFmtId="0" fontId="25" fillId="0" borderId="0" xfId="0" applyNumberFormat="1" applyFont="1" applyFill="1" applyAlignment="1">
      <alignment horizontal="left"/>
    </xf>
    <xf numFmtId="0" fontId="52" fillId="0" borderId="0" xfId="0" applyNumberFormat="1" applyFont="1" applyFill="1" applyAlignment="1">
      <alignment wrapText="1"/>
    </xf>
    <xf numFmtId="3" fontId="0" fillId="0" borderId="0" xfId="0" applyNumberFormat="1" applyFont="1" applyFill="1" applyAlignment="1">
      <alignment horizontal="left"/>
    </xf>
    <xf numFmtId="49" fontId="24" fillId="49" borderId="0" xfId="0" applyNumberFormat="1" applyFont="1" applyFill="1" applyAlignment="1">
      <alignment horizontal="left"/>
    </xf>
    <xf numFmtId="3" fontId="4" fillId="0" borderId="0" xfId="0" applyNumberFormat="1" applyFont="1" applyFill="1" applyAlignment="1">
      <alignment/>
    </xf>
    <xf numFmtId="49" fontId="4" fillId="47" borderId="0" xfId="0" applyNumberFormat="1" applyFont="1" applyFill="1" applyAlignment="1">
      <alignment/>
    </xf>
    <xf numFmtId="49" fontId="5" fillId="47" borderId="0" xfId="0" applyNumberFormat="1" applyFont="1" applyFill="1" applyAlignment="1">
      <alignment horizontal="left"/>
    </xf>
    <xf numFmtId="49" fontId="4" fillId="47" borderId="0" xfId="0" applyNumberFormat="1" applyFont="1" applyFill="1" applyAlignment="1">
      <alignment/>
    </xf>
    <xf numFmtId="49" fontId="4" fillId="47" borderId="0" xfId="0" applyNumberFormat="1" applyFont="1" applyFill="1" applyBorder="1" applyAlignment="1">
      <alignment/>
    </xf>
    <xf numFmtId="3" fontId="4" fillId="47" borderId="0" xfId="0" applyNumberFormat="1" applyFont="1" applyFill="1" applyAlignment="1">
      <alignment/>
    </xf>
    <xf numFmtId="49" fontId="19" fillId="47" borderId="0" xfId="0" applyNumberFormat="1" applyFont="1" applyFill="1" applyAlignment="1">
      <alignment horizontal="left"/>
    </xf>
    <xf numFmtId="49" fontId="4" fillId="47" borderId="0" xfId="0" applyNumberFormat="1" applyFont="1" applyFill="1" applyAlignment="1">
      <alignment horizontal="center"/>
    </xf>
    <xf numFmtId="49" fontId="13" fillId="47" borderId="0" xfId="0" applyNumberFormat="1" applyFont="1" applyFill="1" applyBorder="1" applyAlignment="1">
      <alignment horizontal="center"/>
    </xf>
    <xf numFmtId="49" fontId="13" fillId="47" borderId="0" xfId="0" applyNumberFormat="1" applyFont="1" applyFill="1" applyBorder="1" applyAlignment="1">
      <alignment/>
    </xf>
    <xf numFmtId="3" fontId="4" fillId="47" borderId="0" xfId="0" applyNumberFormat="1" applyFont="1" applyFill="1" applyBorder="1" applyAlignment="1">
      <alignment/>
    </xf>
    <xf numFmtId="49" fontId="13" fillId="47" borderId="20" xfId="0" applyNumberFormat="1" applyFont="1" applyFill="1" applyBorder="1" applyAlignment="1" applyProtection="1">
      <alignment horizontal="center" vertical="center"/>
      <protection/>
    </xf>
    <xf numFmtId="49" fontId="13" fillId="47" borderId="26" xfId="0" applyNumberFormat="1" applyFont="1" applyFill="1" applyBorder="1" applyAlignment="1" applyProtection="1">
      <alignment horizontal="center" vertical="center"/>
      <protection/>
    </xf>
    <xf numFmtId="4" fontId="0" fillId="47" borderId="26" xfId="378" applyNumberFormat="1" applyFont="1" applyFill="1" applyBorder="1" applyAlignment="1">
      <alignment horizontal="center" vertical="center" wrapText="1"/>
    </xf>
    <xf numFmtId="0" fontId="28" fillId="47" borderId="0" xfId="0" applyNumberFormat="1" applyFont="1" applyFill="1" applyBorder="1" applyAlignment="1">
      <alignment horizontal="left"/>
    </xf>
    <xf numFmtId="49" fontId="0" fillId="47" borderId="0" xfId="0" applyNumberFormat="1" applyFont="1" applyFill="1" applyAlignment="1">
      <alignment horizontal="left" vertical="center" wrapText="1"/>
    </xf>
    <xf numFmtId="3" fontId="103" fillId="47" borderId="0" xfId="0" applyNumberFormat="1" applyFont="1" applyFill="1" applyBorder="1" applyAlignment="1">
      <alignment/>
    </xf>
    <xf numFmtId="49" fontId="4" fillId="49" borderId="0" xfId="0" applyNumberFormat="1" applyFont="1" applyFill="1" applyAlignment="1">
      <alignment/>
    </xf>
    <xf numFmtId="3" fontId="0" fillId="47" borderId="0" xfId="0" applyNumberFormat="1" applyFont="1" applyFill="1" applyAlignment="1">
      <alignment horizontal="left"/>
    </xf>
    <xf numFmtId="3" fontId="0" fillId="47" borderId="0" xfId="0" applyNumberFormat="1" applyFont="1" applyFill="1" applyBorder="1" applyAlignment="1">
      <alignment horizontal="left"/>
    </xf>
    <xf numFmtId="210" fontId="30" fillId="47" borderId="20" xfId="0" applyNumberFormat="1" applyFont="1" applyFill="1" applyBorder="1" applyAlignment="1" applyProtection="1">
      <alignment horizontal="left" vertical="center"/>
      <protection/>
    </xf>
    <xf numFmtId="4" fontId="30" fillId="47" borderId="26" xfId="0" applyNumberFormat="1" applyFont="1" applyFill="1" applyBorder="1" applyAlignment="1" applyProtection="1">
      <alignment horizontal="left" vertical="center"/>
      <protection/>
    </xf>
    <xf numFmtId="210" fontId="8" fillId="47" borderId="20" xfId="0" applyNumberFormat="1" applyFont="1" applyFill="1" applyBorder="1" applyAlignment="1" applyProtection="1">
      <alignment horizontal="center" vertical="center"/>
      <protection/>
    </xf>
    <xf numFmtId="0" fontId="8" fillId="47" borderId="20" xfId="0" applyFont="1" applyFill="1" applyBorder="1" applyAlignment="1" applyProtection="1">
      <alignment horizontal="center" vertical="center"/>
      <protection/>
    </xf>
    <xf numFmtId="49" fontId="8" fillId="47" borderId="20" xfId="0" applyNumberFormat="1" applyFont="1" applyFill="1" applyBorder="1" applyAlignment="1" applyProtection="1">
      <alignment horizontal="left" vertical="center"/>
      <protection/>
    </xf>
    <xf numFmtId="49" fontId="8" fillId="47" borderId="20" xfId="0" applyNumberFormat="1" applyFont="1" applyFill="1" applyBorder="1" applyAlignment="1" applyProtection="1">
      <alignment horizontal="center" vertical="center"/>
      <protection/>
    </xf>
    <xf numFmtId="210" fontId="28" fillId="47" borderId="0" xfId="0" applyNumberFormat="1" applyFont="1" applyFill="1" applyAlignment="1">
      <alignment horizontal="left"/>
    </xf>
    <xf numFmtId="210" fontId="0" fillId="47" borderId="0" xfId="0" applyNumberFormat="1" applyFont="1" applyFill="1" applyAlignment="1">
      <alignment horizontal="left"/>
    </xf>
    <xf numFmtId="4" fontId="0" fillId="47" borderId="0" xfId="0" applyNumberFormat="1" applyFont="1" applyFill="1" applyAlignment="1">
      <alignment horizontal="left"/>
    </xf>
    <xf numFmtId="210" fontId="0" fillId="47" borderId="0" xfId="0" applyNumberFormat="1" applyFont="1" applyFill="1" applyBorder="1" applyAlignment="1">
      <alignment horizontal="left"/>
    </xf>
    <xf numFmtId="4" fontId="0" fillId="47" borderId="0" xfId="0" applyNumberFormat="1" applyFont="1" applyFill="1" applyBorder="1" applyAlignment="1">
      <alignment horizontal="left"/>
    </xf>
    <xf numFmtId="49" fontId="0" fillId="49" borderId="0" xfId="0" applyNumberFormat="1" applyFont="1" applyFill="1" applyAlignment="1">
      <alignment horizontal="left"/>
    </xf>
    <xf numFmtId="49" fontId="8" fillId="47" borderId="20" xfId="0" applyNumberFormat="1" applyFont="1" applyFill="1" applyBorder="1" applyAlignment="1" applyProtection="1">
      <alignment horizontal="left" vertical="center" wrapText="1"/>
      <protection/>
    </xf>
    <xf numFmtId="0" fontId="8" fillId="47" borderId="20" xfId="0" applyFont="1" applyFill="1" applyBorder="1" applyAlignment="1" applyProtection="1">
      <alignment horizontal="left" vertical="center" wrapText="1"/>
      <protection/>
    </xf>
    <xf numFmtId="49" fontId="0" fillId="0" borderId="0" xfId="0" applyNumberFormat="1" applyFont="1" applyFill="1" applyAlignment="1">
      <alignment horizontal="left" vertical="center" wrapText="1"/>
    </xf>
    <xf numFmtId="49" fontId="1" fillId="49" borderId="0" xfId="0" applyNumberFormat="1" applyFont="1" applyFill="1" applyBorder="1" applyAlignment="1">
      <alignment horizontal="left"/>
    </xf>
    <xf numFmtId="49" fontId="4" fillId="47" borderId="20" xfId="0" applyNumberFormat="1" applyFont="1" applyFill="1" applyBorder="1" applyAlignment="1">
      <alignment horizontal="center" vertical="center" wrapText="1"/>
    </xf>
    <xf numFmtId="49" fontId="4" fillId="47" borderId="0" xfId="0" applyNumberFormat="1" applyFont="1" applyFill="1" applyAlignment="1">
      <alignment horizontal="left"/>
    </xf>
    <xf numFmtId="49" fontId="4" fillId="47" borderId="20" xfId="0" applyNumberFormat="1" applyFont="1" applyFill="1" applyBorder="1" applyAlignment="1" applyProtection="1">
      <alignment horizontal="center" vertical="center" wrapText="1"/>
      <protection/>
    </xf>
    <xf numFmtId="0" fontId="28" fillId="47" borderId="0" xfId="0" applyNumberFormat="1" applyFont="1" applyFill="1" applyBorder="1" applyAlignment="1">
      <alignment horizontal="center" wrapText="1"/>
    </xf>
    <xf numFmtId="49" fontId="28" fillId="47" borderId="0" xfId="0" applyNumberFormat="1" applyFont="1" applyFill="1" applyAlignment="1">
      <alignment horizontal="left"/>
    </xf>
    <xf numFmtId="210" fontId="8" fillId="47" borderId="20" xfId="0" applyNumberFormat="1" applyFont="1" applyFill="1" applyBorder="1" applyAlignment="1">
      <alignment horizontal="center" vertical="center" wrapText="1"/>
    </xf>
    <xf numFmtId="210" fontId="8" fillId="47" borderId="20" xfId="0" applyNumberFormat="1" applyFont="1" applyFill="1" applyBorder="1" applyAlignment="1" applyProtection="1">
      <alignment horizontal="center" vertical="center" wrapText="1"/>
      <protection/>
    </xf>
    <xf numFmtId="49" fontId="0" fillId="47" borderId="0" xfId="0" applyNumberFormat="1" applyFont="1" applyFill="1" applyAlignment="1">
      <alignment horizontal="left"/>
    </xf>
    <xf numFmtId="0" fontId="8" fillId="47" borderId="20" xfId="357" applyFont="1" applyFill="1" applyBorder="1" applyAlignment="1">
      <alignment horizontal="left" vertical="center" wrapText="1"/>
      <protection/>
    </xf>
    <xf numFmtId="49" fontId="8" fillId="47" borderId="20" xfId="358" applyNumberFormat="1" applyFont="1" applyFill="1" applyBorder="1" applyAlignment="1" applyProtection="1">
      <alignment horizontal="left" vertical="center" wrapText="1"/>
      <protection/>
    </xf>
    <xf numFmtId="3" fontId="8" fillId="47" borderId="20" xfId="0" applyNumberFormat="1" applyFont="1" applyFill="1" applyBorder="1" applyAlignment="1" applyProtection="1">
      <alignment vertical="center"/>
      <protection/>
    </xf>
    <xf numFmtId="0" fontId="8" fillId="47" borderId="20" xfId="0" applyNumberFormat="1" applyFont="1" applyFill="1" applyBorder="1" applyAlignment="1" applyProtection="1">
      <alignment horizontal="left" vertical="center" wrapText="1"/>
      <protection/>
    </xf>
    <xf numFmtId="49" fontId="8" fillId="47" borderId="0" xfId="0" applyNumberFormat="1" applyFont="1" applyFill="1" applyAlignment="1">
      <alignment horizontal="left" vertical="center" wrapText="1"/>
    </xf>
    <xf numFmtId="0" fontId="8" fillId="47" borderId="21" xfId="0" applyNumberFormat="1" applyFont="1" applyFill="1" applyBorder="1" applyAlignment="1" applyProtection="1">
      <alignment horizontal="left" vertical="center" wrapText="1"/>
      <protection/>
    </xf>
    <xf numFmtId="0" fontId="104" fillId="47" borderId="20" xfId="0" applyNumberFormat="1" applyFont="1" applyFill="1" applyBorder="1" applyAlignment="1" applyProtection="1">
      <alignment horizontal="left" vertical="center" wrapText="1"/>
      <protection/>
    </xf>
    <xf numFmtId="0" fontId="0" fillId="47" borderId="0" xfId="0" applyFont="1" applyFill="1" applyBorder="1" applyAlignment="1" applyProtection="1">
      <alignment horizontal="center" vertical="center"/>
      <protection/>
    </xf>
    <xf numFmtId="49" fontId="0" fillId="47" borderId="0" xfId="0" applyNumberFormat="1" applyFont="1" applyFill="1" applyBorder="1" applyAlignment="1" applyProtection="1">
      <alignment vertical="center"/>
      <protection/>
    </xf>
    <xf numFmtId="210" fontId="17" fillId="47" borderId="0" xfId="0" applyNumberFormat="1" applyFont="1" applyFill="1" applyBorder="1" applyAlignment="1" applyProtection="1">
      <alignment horizontal="center" vertical="center"/>
      <protection/>
    </xf>
    <xf numFmtId="210" fontId="4" fillId="47" borderId="0" xfId="0" applyNumberFormat="1" applyFont="1" applyFill="1" applyBorder="1" applyAlignment="1" applyProtection="1">
      <alignment horizontal="center" vertical="center"/>
      <protection/>
    </xf>
    <xf numFmtId="210" fontId="32" fillId="47" borderId="0" xfId="0" applyNumberFormat="1" applyFont="1" applyFill="1" applyBorder="1" applyAlignment="1" applyProtection="1">
      <alignment horizontal="center" vertical="center"/>
      <protection/>
    </xf>
    <xf numFmtId="210" fontId="25" fillId="47" borderId="0" xfId="352" applyNumberFormat="1" applyFont="1" applyFill="1" applyBorder="1" applyAlignment="1" applyProtection="1">
      <alignment horizontal="left" vertical="center"/>
      <protection/>
    </xf>
    <xf numFmtId="210" fontId="25" fillId="47" borderId="0" xfId="0" applyNumberFormat="1" applyFont="1" applyFill="1" applyBorder="1" applyAlignment="1">
      <alignment horizontal="left" wrapText="1"/>
    </xf>
    <xf numFmtId="0" fontId="25" fillId="47" borderId="0" xfId="0" applyNumberFormat="1" applyFont="1" applyFill="1" applyBorder="1" applyAlignment="1">
      <alignment horizontal="left"/>
    </xf>
    <xf numFmtId="210" fontId="25" fillId="47" borderId="0" xfId="0" applyNumberFormat="1" applyFont="1" applyFill="1" applyBorder="1" applyAlignment="1">
      <alignment horizontal="center" wrapText="1"/>
    </xf>
    <xf numFmtId="0" fontId="25" fillId="47" borderId="0" xfId="0" applyNumberFormat="1" applyFont="1" applyFill="1" applyAlignment="1">
      <alignment horizontal="left"/>
    </xf>
    <xf numFmtId="0" fontId="25" fillId="47" borderId="0" xfId="0" applyNumberFormat="1" applyFont="1" applyFill="1" applyAlignment="1">
      <alignment horizontal="left" vertical="center" wrapText="1"/>
    </xf>
    <xf numFmtId="210" fontId="25" fillId="47" borderId="0" xfId="0" applyNumberFormat="1" applyFont="1" applyFill="1" applyAlignment="1">
      <alignment horizontal="center"/>
    </xf>
    <xf numFmtId="4" fontId="25" fillId="47" borderId="0" xfId="0" applyNumberFormat="1" applyFont="1" applyFill="1" applyAlignment="1">
      <alignment horizontal="center"/>
    </xf>
    <xf numFmtId="0" fontId="25" fillId="47" borderId="0" xfId="0" applyNumberFormat="1" applyFont="1" applyFill="1" applyAlignment="1">
      <alignment horizontal="left" wrapText="1"/>
    </xf>
    <xf numFmtId="210" fontId="25" fillId="47" borderId="0" xfId="0" applyNumberFormat="1" applyFont="1" applyFill="1" applyAlignment="1">
      <alignment horizontal="center" wrapText="1"/>
    </xf>
    <xf numFmtId="3" fontId="105" fillId="47" borderId="20" xfId="359" applyNumberFormat="1" applyFont="1" applyFill="1" applyBorder="1" applyAlignment="1" applyProtection="1">
      <alignment vertical="center" wrapText="1"/>
      <protection/>
    </xf>
    <xf numFmtId="3" fontId="105" fillId="47" borderId="20" xfId="0" applyNumberFormat="1" applyFont="1" applyFill="1" applyBorder="1" applyAlignment="1" applyProtection="1">
      <alignment vertical="center"/>
      <protection/>
    </xf>
    <xf numFmtId="3" fontId="105" fillId="47" borderId="20" xfId="376" applyNumberFormat="1" applyFont="1" applyFill="1" applyBorder="1" applyAlignment="1" applyProtection="1">
      <alignment vertical="center"/>
      <protection/>
    </xf>
    <xf numFmtId="3" fontId="105" fillId="47" borderId="20" xfId="0" applyNumberFormat="1" applyFont="1" applyFill="1" applyBorder="1" applyAlignment="1">
      <alignment/>
    </xf>
    <xf numFmtId="3" fontId="105" fillId="47" borderId="20" xfId="0" applyNumberFormat="1" applyFont="1" applyFill="1" applyBorder="1" applyAlignment="1">
      <alignment vertical="center"/>
    </xf>
    <xf numFmtId="3" fontId="105" fillId="47" borderId="20" xfId="0" applyNumberFormat="1" applyFont="1" applyFill="1" applyBorder="1" applyAlignment="1" applyProtection="1">
      <alignment vertical="center" wrapText="1"/>
      <protection/>
    </xf>
    <xf numFmtId="3" fontId="105" fillId="47" borderId="20" xfId="372" applyNumberFormat="1" applyFont="1" applyFill="1" applyBorder="1" applyAlignment="1" applyProtection="1">
      <alignment vertical="center"/>
      <protection/>
    </xf>
    <xf numFmtId="3" fontId="105" fillId="47" borderId="20" xfId="0" applyNumberFormat="1" applyFont="1" applyFill="1" applyBorder="1" applyAlignment="1" applyProtection="1">
      <alignment/>
      <protection/>
    </xf>
    <xf numFmtId="3" fontId="105" fillId="47" borderId="20" xfId="150" applyNumberFormat="1" applyFont="1" applyFill="1" applyBorder="1" applyAlignment="1" applyProtection="1">
      <alignment vertical="center"/>
      <protection/>
    </xf>
    <xf numFmtId="3" fontId="105" fillId="47" borderId="20" xfId="150" applyNumberFormat="1" applyFont="1" applyFill="1" applyBorder="1" applyAlignment="1">
      <alignment/>
    </xf>
    <xf numFmtId="3" fontId="105" fillId="47" borderId="20" xfId="376" applyNumberFormat="1" applyFont="1" applyFill="1" applyBorder="1" applyAlignment="1" applyProtection="1">
      <alignment vertical="center" wrapText="1"/>
      <protection/>
    </xf>
    <xf numFmtId="3" fontId="105" fillId="47" borderId="20" xfId="0" applyNumberFormat="1" applyFont="1" applyFill="1" applyBorder="1" applyAlignment="1">
      <alignment vertical="center" wrapText="1"/>
    </xf>
    <xf numFmtId="3" fontId="105" fillId="47" borderId="20" xfId="0" applyNumberFormat="1" applyFont="1" applyFill="1" applyBorder="1" applyAlignment="1" applyProtection="1">
      <alignment vertical="center" shrinkToFit="1"/>
      <protection/>
    </xf>
    <xf numFmtId="3" fontId="105" fillId="47" borderId="20" xfId="0" applyNumberFormat="1" applyFont="1" applyFill="1" applyBorder="1" applyAlignment="1">
      <alignment vertical="center" shrinkToFit="1"/>
    </xf>
    <xf numFmtId="3" fontId="105" fillId="47" borderId="20" xfId="372" applyNumberFormat="1" applyFont="1" applyFill="1" applyBorder="1" applyAlignment="1" applyProtection="1">
      <alignment vertical="center" shrinkToFit="1"/>
      <protection/>
    </xf>
    <xf numFmtId="3" fontId="105" fillId="47" borderId="20" xfId="354" applyNumberFormat="1" applyFont="1" applyFill="1" applyBorder="1" applyAlignment="1" applyProtection="1">
      <alignment vertical="center"/>
      <protection locked="0"/>
    </xf>
    <xf numFmtId="3" fontId="105" fillId="47" borderId="20" xfId="0" applyNumberFormat="1" applyFont="1" applyFill="1" applyBorder="1" applyAlignment="1" applyProtection="1">
      <alignment vertical="center"/>
      <protection hidden="1"/>
    </xf>
    <xf numFmtId="3" fontId="105" fillId="47" borderId="20" xfId="372" applyNumberFormat="1" applyFont="1" applyFill="1" applyBorder="1" applyAlignment="1" applyProtection="1">
      <alignment vertical="center"/>
      <protection hidden="1"/>
    </xf>
    <xf numFmtId="3" fontId="105" fillId="47" borderId="20" xfId="0" applyNumberFormat="1" applyFont="1" applyFill="1" applyBorder="1" applyAlignment="1" applyProtection="1">
      <alignment/>
      <protection hidden="1"/>
    </xf>
    <xf numFmtId="3" fontId="105" fillId="47" borderId="20" xfId="353" applyNumberFormat="1" applyFont="1" applyFill="1" applyBorder="1" applyAlignment="1" applyProtection="1">
      <alignment vertical="center"/>
      <protection locked="0"/>
    </xf>
    <xf numFmtId="3" fontId="105" fillId="47" borderId="20" xfId="372" applyNumberFormat="1" applyFont="1" applyFill="1" applyBorder="1" applyAlignment="1" applyProtection="1">
      <alignment/>
      <protection/>
    </xf>
    <xf numFmtId="3" fontId="105" fillId="47" borderId="20" xfId="358" applyNumberFormat="1" applyFont="1" applyFill="1" applyBorder="1" applyAlignment="1" applyProtection="1">
      <alignment vertical="center"/>
      <protection/>
    </xf>
    <xf numFmtId="210" fontId="8" fillId="47" borderId="20" xfId="0" applyNumberFormat="1" applyFont="1" applyFill="1" applyBorder="1" applyAlignment="1" applyProtection="1">
      <alignment horizontal="left" vertical="center"/>
      <protection/>
    </xf>
    <xf numFmtId="210" fontId="104" fillId="47" borderId="20" xfId="0" applyNumberFormat="1" applyFont="1" applyFill="1" applyBorder="1" applyAlignment="1" applyProtection="1">
      <alignment horizontal="left" vertical="center"/>
      <protection/>
    </xf>
    <xf numFmtId="3" fontId="8" fillId="47" borderId="20" xfId="0" applyNumberFormat="1" applyFont="1" applyFill="1" applyBorder="1" applyAlignment="1" applyProtection="1">
      <alignment horizontal="left" vertical="center" wrapText="1" shrinkToFit="1"/>
      <protection locked="0"/>
    </xf>
    <xf numFmtId="49" fontId="8" fillId="47" borderId="20" xfId="353" applyNumberFormat="1" applyFont="1" applyFill="1" applyBorder="1" applyAlignment="1" applyProtection="1">
      <alignment horizontal="left" vertical="center" wrapText="1"/>
      <protection locked="0"/>
    </xf>
    <xf numFmtId="49" fontId="8" fillId="47" borderId="20" xfId="0" applyNumberFormat="1" applyFont="1" applyFill="1" applyBorder="1" applyAlignment="1" applyProtection="1">
      <alignment vertical="center"/>
      <protection/>
    </xf>
    <xf numFmtId="4" fontId="105" fillId="47" borderId="26" xfId="359" applyNumberFormat="1" applyFont="1" applyFill="1" applyBorder="1" applyAlignment="1">
      <alignment horizontal="center" vertical="center" wrapText="1"/>
      <protection/>
    </xf>
    <xf numFmtId="0" fontId="8" fillId="49" borderId="20" xfId="0" applyFont="1" applyFill="1" applyBorder="1" applyAlignment="1" applyProtection="1">
      <alignment horizontal="center" vertical="center"/>
      <protection/>
    </xf>
    <xf numFmtId="0" fontId="8" fillId="49" borderId="20" xfId="0" applyFont="1" applyFill="1" applyBorder="1" applyAlignment="1" applyProtection="1">
      <alignment horizontal="left" vertical="center" wrapText="1"/>
      <protection/>
    </xf>
    <xf numFmtId="3" fontId="105" fillId="49" borderId="20" xfId="0" applyNumberFormat="1" applyFont="1" applyFill="1" applyBorder="1" applyAlignment="1" applyProtection="1">
      <alignment vertical="center" wrapText="1"/>
      <protection/>
    </xf>
    <xf numFmtId="3" fontId="105" fillId="49" borderId="20" xfId="359" applyNumberFormat="1" applyFont="1" applyFill="1" applyBorder="1" applyAlignment="1" applyProtection="1">
      <alignment vertical="center" wrapText="1"/>
      <protection/>
    </xf>
    <xf numFmtId="4" fontId="105" fillId="49" borderId="26" xfId="359" applyNumberFormat="1" applyFont="1" applyFill="1" applyBorder="1" applyAlignment="1">
      <alignment horizontal="center" vertical="center" wrapText="1"/>
      <protection/>
    </xf>
    <xf numFmtId="3" fontId="0" fillId="49" borderId="0" xfId="0" applyNumberFormat="1" applyFont="1" applyFill="1" applyAlignment="1">
      <alignment horizontal="left"/>
    </xf>
    <xf numFmtId="3" fontId="105" fillId="49" borderId="20" xfId="358" applyNumberFormat="1" applyFont="1" applyFill="1" applyBorder="1" applyAlignment="1" applyProtection="1">
      <alignment vertical="center" wrapText="1"/>
      <protection/>
    </xf>
    <xf numFmtId="0" fontId="8" fillId="49" borderId="20" xfId="358" applyFont="1" applyFill="1" applyBorder="1" applyAlignment="1" applyProtection="1">
      <alignment horizontal="center" vertical="center" wrapText="1"/>
      <protection/>
    </xf>
    <xf numFmtId="0" fontId="8" fillId="49" borderId="20" xfId="360" applyFont="1" applyFill="1" applyBorder="1" applyAlignment="1" applyProtection="1">
      <alignment horizontal="left" vertical="center" wrapText="1"/>
      <protection/>
    </xf>
    <xf numFmtId="0" fontId="8" fillId="49" borderId="20" xfId="357" applyFont="1" applyFill="1" applyBorder="1" applyAlignment="1">
      <alignment horizontal="left" vertical="center" wrapText="1"/>
      <protection/>
    </xf>
    <xf numFmtId="3" fontId="105" fillId="49" borderId="20" xfId="147" applyNumberFormat="1" applyFont="1" applyFill="1" applyBorder="1" applyAlignment="1" applyProtection="1">
      <alignment vertical="center" wrapText="1"/>
      <protection/>
    </xf>
    <xf numFmtId="3" fontId="105" fillId="49" borderId="20" xfId="0" applyNumberFormat="1" applyFont="1" applyFill="1" applyBorder="1" applyAlignment="1" applyProtection="1">
      <alignment vertical="center" wrapText="1" shrinkToFit="1"/>
      <protection/>
    </xf>
    <xf numFmtId="3" fontId="105" fillId="49" borderId="20" xfId="352" applyNumberFormat="1" applyFont="1" applyFill="1" applyBorder="1" applyAlignment="1" applyProtection="1">
      <alignment vertical="center" wrapText="1"/>
      <protection locked="0"/>
    </xf>
    <xf numFmtId="210" fontId="0" fillId="47" borderId="20" xfId="0" applyNumberFormat="1" applyFont="1" applyFill="1" applyBorder="1" applyAlignment="1" applyProtection="1">
      <alignment horizontal="right" vertical="center" wrapText="1"/>
      <protection/>
    </xf>
    <xf numFmtId="210" fontId="0" fillId="47" borderId="20" xfId="372" applyNumberFormat="1" applyFont="1" applyFill="1" applyBorder="1" applyAlignment="1" applyProtection="1">
      <alignment horizontal="right" vertical="center"/>
      <protection/>
    </xf>
    <xf numFmtId="210" fontId="0" fillId="47" borderId="20" xfId="376" applyNumberFormat="1" applyFont="1" applyFill="1" applyBorder="1" applyAlignment="1" applyProtection="1">
      <alignment horizontal="right" vertical="center" wrapText="1"/>
      <protection/>
    </xf>
    <xf numFmtId="210" fontId="0" fillId="47" borderId="20" xfId="0" applyNumberFormat="1" applyFont="1" applyFill="1" applyBorder="1" applyAlignment="1">
      <alignment horizontal="right" vertical="center" wrapText="1"/>
    </xf>
    <xf numFmtId="210" fontId="0" fillId="47" borderId="20" xfId="147" applyNumberFormat="1" applyFont="1" applyFill="1" applyBorder="1" applyAlignment="1" applyProtection="1">
      <alignment horizontal="right"/>
      <protection locked="0"/>
    </xf>
    <xf numFmtId="210" fontId="0" fillId="47" borderId="20" xfId="0" applyNumberFormat="1" applyFont="1" applyFill="1" applyBorder="1" applyAlignment="1" applyProtection="1">
      <alignment horizontal="right" vertical="center"/>
      <protection hidden="1"/>
    </xf>
    <xf numFmtId="210" fontId="0" fillId="47" borderId="20" xfId="372" applyNumberFormat="1" applyFont="1" applyFill="1" applyBorder="1" applyAlignment="1" applyProtection="1">
      <alignment horizontal="right" vertical="center"/>
      <protection hidden="1"/>
    </xf>
    <xf numFmtId="210" fontId="0" fillId="47" borderId="20" xfId="0" applyNumberFormat="1" applyFont="1" applyFill="1" applyBorder="1" applyAlignment="1" applyProtection="1">
      <alignment horizontal="right"/>
      <protection hidden="1"/>
    </xf>
    <xf numFmtId="210" fontId="1" fillId="47" borderId="20" xfId="0" applyNumberFormat="1" applyFont="1" applyFill="1" applyBorder="1" applyAlignment="1" applyProtection="1">
      <alignment horizontal="right" vertical="center"/>
      <protection/>
    </xf>
    <xf numFmtId="210" fontId="1" fillId="47" borderId="20" xfId="0" applyNumberFormat="1" applyFont="1" applyFill="1" applyBorder="1" applyAlignment="1" applyProtection="1">
      <alignment horizontal="right" vertical="center"/>
      <protection/>
    </xf>
    <xf numFmtId="210" fontId="1" fillId="47" borderId="20" xfId="372" applyNumberFormat="1" applyFont="1" applyFill="1" applyBorder="1" applyAlignment="1" applyProtection="1">
      <alignment horizontal="right" vertical="center"/>
      <protection/>
    </xf>
    <xf numFmtId="210" fontId="0" fillId="47" borderId="20" xfId="0" applyNumberFormat="1" applyFont="1" applyFill="1" applyBorder="1" applyAlignment="1">
      <alignment horizontal="right"/>
    </xf>
    <xf numFmtId="210" fontId="1" fillId="47" borderId="21" xfId="0" applyNumberFormat="1" applyFont="1" applyFill="1" applyBorder="1" applyAlignment="1" applyProtection="1">
      <alignment horizontal="right" vertical="center"/>
      <protection/>
    </xf>
    <xf numFmtId="210" fontId="0" fillId="47" borderId="20" xfId="358" applyNumberFormat="1" applyFont="1" applyFill="1" applyBorder="1" applyAlignment="1" applyProtection="1">
      <alignment horizontal="right" vertical="center" wrapText="1"/>
      <protection/>
    </xf>
    <xf numFmtId="210" fontId="0" fillId="47" borderId="20" xfId="0" applyNumberFormat="1" applyFont="1" applyFill="1" applyBorder="1" applyAlignment="1" applyProtection="1">
      <alignment horizontal="right" vertical="center"/>
      <protection/>
    </xf>
    <xf numFmtId="210" fontId="0" fillId="47" borderId="20" xfId="372" applyNumberFormat="1" applyFont="1" applyFill="1" applyBorder="1" applyAlignment="1" applyProtection="1">
      <alignment horizontal="right" vertical="center"/>
      <protection/>
    </xf>
    <xf numFmtId="210" fontId="0" fillId="47" borderId="20" xfId="0" applyNumberFormat="1" applyFont="1" applyFill="1" applyBorder="1" applyAlignment="1">
      <alignment horizontal="right"/>
    </xf>
    <xf numFmtId="210" fontId="0" fillId="47" borderId="20" xfId="150" applyNumberFormat="1" applyFont="1" applyFill="1" applyBorder="1" applyAlignment="1" applyProtection="1">
      <alignment horizontal="right"/>
      <protection locked="0"/>
    </xf>
    <xf numFmtId="210" fontId="0" fillId="47" borderId="20" xfId="358" applyNumberFormat="1" applyFont="1" applyFill="1" applyBorder="1" applyAlignment="1" applyProtection="1">
      <alignment horizontal="right" vertical="center"/>
      <protection/>
    </xf>
    <xf numFmtId="210" fontId="0" fillId="47" borderId="20" xfId="0" applyNumberFormat="1" applyFont="1" applyFill="1" applyBorder="1" applyAlignment="1" applyProtection="1">
      <alignment horizontal="right" vertical="center"/>
      <protection/>
    </xf>
    <xf numFmtId="210" fontId="0" fillId="47" borderId="20" xfId="358" applyNumberFormat="1" applyFont="1" applyFill="1" applyBorder="1" applyAlignment="1" applyProtection="1">
      <alignment horizontal="right" vertical="center"/>
      <protection/>
    </xf>
    <xf numFmtId="210" fontId="0" fillId="47" borderId="20" xfId="376" applyNumberFormat="1" applyFont="1" applyFill="1" applyBorder="1" applyAlignment="1" applyProtection="1">
      <alignment horizontal="right" vertical="center"/>
      <protection/>
    </xf>
    <xf numFmtId="210" fontId="0" fillId="47" borderId="20" xfId="0" applyNumberFormat="1" applyFont="1" applyFill="1" applyBorder="1" applyAlignment="1">
      <alignment horizontal="right"/>
    </xf>
    <xf numFmtId="210" fontId="0" fillId="47" borderId="20" xfId="0" applyNumberFormat="1" applyFont="1" applyFill="1" applyBorder="1" applyAlignment="1">
      <alignment horizontal="right" vertical="center"/>
    </xf>
    <xf numFmtId="210" fontId="0" fillId="47" borderId="0" xfId="0" applyNumberFormat="1" applyFont="1" applyFill="1" applyAlignment="1">
      <alignment horizontal="right"/>
    </xf>
    <xf numFmtId="210" fontId="0" fillId="47" borderId="20" xfId="0" applyNumberFormat="1" applyFont="1" applyFill="1" applyBorder="1" applyAlignment="1" applyProtection="1">
      <alignment horizontal="right" vertical="center"/>
      <protection/>
    </xf>
    <xf numFmtId="210" fontId="0" fillId="47" borderId="20" xfId="0" applyNumberFormat="1" applyFont="1" applyFill="1" applyBorder="1" applyAlignment="1" applyProtection="1">
      <alignment horizontal="right" vertical="center" shrinkToFit="1"/>
      <protection/>
    </xf>
    <xf numFmtId="210" fontId="0" fillId="47" borderId="20" xfId="0" applyNumberFormat="1" applyFont="1" applyFill="1" applyBorder="1" applyAlignment="1" applyProtection="1">
      <alignment horizontal="right" vertical="center" shrinkToFit="1"/>
      <protection locked="0"/>
    </xf>
    <xf numFmtId="210" fontId="0" fillId="47" borderId="20" xfId="0" applyNumberFormat="1" applyFont="1" applyFill="1" applyBorder="1" applyAlignment="1">
      <alignment horizontal="right" vertical="center" shrinkToFit="1"/>
    </xf>
    <xf numFmtId="210" fontId="0" fillId="47" borderId="0" xfId="232" applyNumberFormat="1" applyFont="1" applyFill="1" applyAlignment="1">
      <alignment horizontal="right"/>
      <protection/>
    </xf>
    <xf numFmtId="210" fontId="0" fillId="47" borderId="20" xfId="0" applyNumberFormat="1" applyFont="1" applyFill="1" applyBorder="1" applyAlignment="1">
      <alignment horizontal="right" vertical="center"/>
    </xf>
    <xf numFmtId="210" fontId="0" fillId="47" borderId="20" xfId="0" applyNumberFormat="1" applyFont="1" applyFill="1" applyBorder="1" applyAlignment="1" applyProtection="1">
      <alignment horizontal="center" vertical="center"/>
      <protection/>
    </xf>
    <xf numFmtId="210" fontId="0" fillId="47" borderId="20" xfId="0" applyNumberFormat="1" applyFont="1" applyFill="1" applyBorder="1" applyAlignment="1" applyProtection="1">
      <alignment horizontal="left" vertical="center"/>
      <protection/>
    </xf>
    <xf numFmtId="210" fontId="106" fillId="47" borderId="20" xfId="0" applyNumberFormat="1" applyFont="1" applyFill="1" applyBorder="1" applyAlignment="1" applyProtection="1">
      <alignment horizontal="left" vertical="center"/>
      <protection/>
    </xf>
    <xf numFmtId="210" fontId="0" fillId="47" borderId="20" xfId="0" applyNumberFormat="1" applyFont="1" applyFill="1" applyBorder="1" applyAlignment="1" applyProtection="1">
      <alignment horizontal="center" vertical="center"/>
      <protection/>
    </xf>
    <xf numFmtId="210" fontId="0" fillId="47" borderId="20" xfId="0" applyNumberFormat="1" applyFont="1" applyFill="1" applyBorder="1" applyAlignment="1" applyProtection="1">
      <alignment horizontal="left" vertical="center"/>
      <protection/>
    </xf>
    <xf numFmtId="0" fontId="0" fillId="47" borderId="20" xfId="0" applyFont="1" applyFill="1" applyBorder="1" applyAlignment="1" applyProtection="1">
      <alignment horizontal="center" vertical="center"/>
      <protection/>
    </xf>
    <xf numFmtId="0" fontId="0" fillId="47" borderId="20" xfId="0" applyFont="1" applyFill="1" applyBorder="1" applyAlignment="1" applyProtection="1">
      <alignment horizontal="left" vertical="center"/>
      <protection/>
    </xf>
    <xf numFmtId="0" fontId="0" fillId="47" borderId="20" xfId="357" applyFont="1" applyFill="1" applyBorder="1" applyAlignment="1">
      <alignment horizontal="left"/>
      <protection/>
    </xf>
    <xf numFmtId="49" fontId="0" fillId="47" borderId="20" xfId="358" applyNumberFormat="1" applyFont="1" applyFill="1" applyBorder="1" applyAlignment="1" applyProtection="1">
      <alignment horizontal="left" vertical="center"/>
      <protection/>
    </xf>
    <xf numFmtId="49" fontId="0" fillId="47" borderId="20" xfId="0" applyNumberFormat="1" applyFont="1" applyFill="1" applyBorder="1" applyAlignment="1" applyProtection="1">
      <alignment horizontal="left" vertical="center"/>
      <protection/>
    </xf>
    <xf numFmtId="49" fontId="0" fillId="47" borderId="20" xfId="0" applyNumberFormat="1" applyFont="1" applyFill="1" applyBorder="1" applyAlignment="1" applyProtection="1">
      <alignment horizontal="center" vertical="center"/>
      <protection/>
    </xf>
    <xf numFmtId="0" fontId="106" fillId="47" borderId="20" xfId="0" applyNumberFormat="1" applyFont="1" applyFill="1" applyBorder="1" applyAlignment="1" applyProtection="1">
      <alignment horizontal="left" vertical="center" wrapText="1"/>
      <protection/>
    </xf>
    <xf numFmtId="0" fontId="0" fillId="47" borderId="20" xfId="0" applyNumberFormat="1" applyFont="1" applyFill="1" applyBorder="1" applyAlignment="1" applyProtection="1">
      <alignment horizontal="left" vertical="center" wrapText="1"/>
      <protection/>
    </xf>
    <xf numFmtId="49" fontId="0" fillId="47" borderId="20" xfId="0" applyNumberFormat="1" applyFont="1" applyFill="1" applyBorder="1" applyAlignment="1" applyProtection="1">
      <alignment vertical="center"/>
      <protection/>
    </xf>
    <xf numFmtId="3" fontId="0" fillId="47" borderId="20" xfId="0" applyNumberFormat="1" applyFont="1" applyFill="1" applyBorder="1" applyAlignment="1" applyProtection="1">
      <alignment horizontal="left" vertical="center" wrapText="1" shrinkToFit="1"/>
      <protection locked="0"/>
    </xf>
    <xf numFmtId="49" fontId="0" fillId="47" borderId="20" xfId="353" applyNumberFormat="1" applyFont="1" applyFill="1" applyBorder="1" applyAlignment="1" applyProtection="1">
      <alignment vertical="center" wrapText="1"/>
      <protection locked="0"/>
    </xf>
    <xf numFmtId="49" fontId="0" fillId="47" borderId="20" xfId="353" applyNumberFormat="1" applyFont="1" applyFill="1" applyBorder="1" applyAlignment="1" applyProtection="1">
      <alignment vertical="center"/>
      <protection locked="0"/>
    </xf>
    <xf numFmtId="3" fontId="0" fillId="47" borderId="20" xfId="0" applyNumberFormat="1" applyFont="1" applyFill="1" applyBorder="1" applyAlignment="1" applyProtection="1">
      <alignment vertical="center"/>
      <protection/>
    </xf>
    <xf numFmtId="49" fontId="0" fillId="47" borderId="0" xfId="0" applyNumberFormat="1" applyFont="1" applyFill="1" applyAlignment="1">
      <alignment horizontal="left" vertical="center" wrapText="1"/>
    </xf>
    <xf numFmtId="0" fontId="0" fillId="47" borderId="21" xfId="0" applyNumberFormat="1" applyFont="1" applyFill="1" applyBorder="1" applyAlignment="1" applyProtection="1">
      <alignment horizontal="left" vertical="center" wrapText="1"/>
      <protection/>
    </xf>
    <xf numFmtId="210" fontId="0" fillId="49" borderId="20" xfId="358" applyNumberFormat="1" applyFont="1" applyFill="1" applyBorder="1" applyAlignment="1" applyProtection="1">
      <alignment horizontal="right" vertical="center" wrapText="1"/>
      <protection/>
    </xf>
    <xf numFmtId="4" fontId="0" fillId="49" borderId="26" xfId="378" applyNumberFormat="1" applyFont="1" applyFill="1" applyBorder="1" applyAlignment="1">
      <alignment horizontal="center" vertical="center" wrapText="1"/>
    </xf>
    <xf numFmtId="3" fontId="4" fillId="49" borderId="0" xfId="0" applyNumberFormat="1" applyFont="1" applyFill="1" applyAlignment="1">
      <alignment/>
    </xf>
    <xf numFmtId="0" fontId="0" fillId="49" borderId="20" xfId="0" applyFont="1" applyFill="1" applyBorder="1" applyAlignment="1" applyProtection="1">
      <alignment horizontal="center" vertical="center"/>
      <protection/>
    </xf>
    <xf numFmtId="0" fontId="0" fillId="49" borderId="20" xfId="0" applyFont="1" applyFill="1" applyBorder="1" applyAlignment="1" applyProtection="1">
      <alignment horizontal="left" vertical="center"/>
      <protection/>
    </xf>
    <xf numFmtId="210" fontId="0" fillId="49" borderId="20" xfId="0" applyNumberFormat="1" applyFont="1" applyFill="1" applyBorder="1" applyAlignment="1" applyProtection="1">
      <alignment horizontal="right" vertical="center" wrapText="1"/>
      <protection/>
    </xf>
    <xf numFmtId="0" fontId="0" fillId="49" borderId="20" xfId="0" applyFont="1" applyFill="1" applyBorder="1" applyAlignment="1" applyProtection="1">
      <alignment horizontal="center" vertical="center"/>
      <protection/>
    </xf>
    <xf numFmtId="0" fontId="0" fillId="49" borderId="20" xfId="0" applyFont="1" applyFill="1" applyBorder="1" applyAlignment="1" applyProtection="1">
      <alignment horizontal="left" vertical="center"/>
      <protection/>
    </xf>
    <xf numFmtId="0" fontId="0" fillId="49" borderId="20" xfId="357" applyFont="1" applyFill="1" applyBorder="1" applyAlignment="1">
      <alignment horizontal="left"/>
      <protection/>
    </xf>
    <xf numFmtId="210" fontId="0" fillId="49" borderId="20" xfId="0" applyNumberFormat="1" applyFont="1" applyFill="1" applyBorder="1" applyAlignment="1" applyProtection="1">
      <alignment horizontal="right" vertical="center" wrapText="1"/>
      <protection/>
    </xf>
    <xf numFmtId="210" fontId="0" fillId="49" borderId="20" xfId="0" applyNumberFormat="1" applyFont="1" applyFill="1" applyBorder="1" applyAlignment="1" applyProtection="1">
      <alignment horizontal="right" vertical="center" wrapText="1" shrinkToFit="1"/>
      <protection/>
    </xf>
    <xf numFmtId="210" fontId="0" fillId="49" borderId="20" xfId="0" applyNumberFormat="1" applyFont="1" applyFill="1" applyBorder="1" applyAlignment="1" applyProtection="1">
      <alignment horizontal="right" vertical="center" wrapText="1"/>
      <protection/>
    </xf>
    <xf numFmtId="210" fontId="0" fillId="49" borderId="20" xfId="358" applyNumberFormat="1" applyFont="1" applyFill="1" applyBorder="1" applyAlignment="1" applyProtection="1">
      <alignment horizontal="right" vertical="center" wrapText="1"/>
      <protection/>
    </xf>
    <xf numFmtId="210" fontId="0" fillId="49" borderId="20" xfId="147" applyNumberFormat="1" applyFont="1" applyFill="1" applyBorder="1" applyAlignment="1" applyProtection="1">
      <alignment horizontal="right" vertical="center" wrapText="1"/>
      <protection locked="0"/>
    </xf>
    <xf numFmtId="210" fontId="8" fillId="47" borderId="0" xfId="0" applyNumberFormat="1" applyFont="1" applyFill="1" applyAlignment="1">
      <alignment horizontal="left"/>
    </xf>
    <xf numFmtId="3" fontId="8" fillId="49" borderId="20" xfId="358" applyNumberFormat="1" applyFont="1" applyFill="1" applyBorder="1" applyAlignment="1" applyProtection="1">
      <alignment vertical="center" wrapText="1"/>
      <protection/>
    </xf>
    <xf numFmtId="3" fontId="8" fillId="49" borderId="20" xfId="359" applyNumberFormat="1" applyFont="1" applyFill="1" applyBorder="1" applyAlignment="1" applyProtection="1">
      <alignment vertical="center" wrapText="1"/>
      <protection/>
    </xf>
    <xf numFmtId="3" fontId="8" fillId="47" borderId="20" xfId="358" applyNumberFormat="1" applyFont="1" applyFill="1" applyBorder="1" applyAlignment="1" applyProtection="1">
      <alignment vertical="center"/>
      <protection/>
    </xf>
    <xf numFmtId="3" fontId="8" fillId="47" borderId="20" xfId="0" applyNumberFormat="1" applyFont="1" applyFill="1" applyBorder="1" applyAlignment="1">
      <alignment/>
    </xf>
    <xf numFmtId="3" fontId="8" fillId="47" borderId="20" xfId="147" applyNumberFormat="1" applyFont="1" applyFill="1" applyBorder="1" applyAlignment="1">
      <alignment vertical="center"/>
    </xf>
    <xf numFmtId="3" fontId="8" fillId="47" borderId="20" xfId="147" applyNumberFormat="1" applyFont="1" applyFill="1" applyBorder="1" applyAlignment="1">
      <alignment/>
    </xf>
    <xf numFmtId="3" fontId="8" fillId="49" borderId="20" xfId="0" applyNumberFormat="1" applyFont="1" applyFill="1" applyBorder="1" applyAlignment="1" applyProtection="1">
      <alignment vertical="center" wrapText="1"/>
      <protection/>
    </xf>
    <xf numFmtId="3" fontId="8" fillId="49" borderId="20" xfId="147" applyNumberFormat="1" applyFont="1" applyFill="1" applyBorder="1" applyAlignment="1" applyProtection="1">
      <alignment vertical="center" wrapText="1"/>
      <protection/>
    </xf>
    <xf numFmtId="3" fontId="8" fillId="47" borderId="20" xfId="150" applyNumberFormat="1" applyFont="1" applyFill="1" applyBorder="1" applyAlignment="1" applyProtection="1">
      <alignment vertical="center"/>
      <protection/>
    </xf>
    <xf numFmtId="3" fontId="8" fillId="47" borderId="20" xfId="0" applyNumberFormat="1" applyFont="1" applyFill="1" applyBorder="1" applyAlignment="1" applyProtection="1">
      <alignment vertical="center" wrapText="1"/>
      <protection/>
    </xf>
    <xf numFmtId="3" fontId="8" fillId="49" borderId="20" xfId="0" applyNumberFormat="1" applyFont="1" applyFill="1" applyBorder="1" applyAlignment="1" applyProtection="1">
      <alignment vertical="center" wrapText="1" shrinkToFit="1"/>
      <protection/>
    </xf>
    <xf numFmtId="3" fontId="8" fillId="47" borderId="20" xfId="0" applyNumberFormat="1" applyFont="1" applyFill="1" applyBorder="1" applyAlignment="1" applyProtection="1">
      <alignment vertical="center" shrinkToFit="1"/>
      <protection locked="0"/>
    </xf>
    <xf numFmtId="3" fontId="8" fillId="47" borderId="20" xfId="354" applyNumberFormat="1" applyFont="1" applyFill="1" applyBorder="1" applyAlignment="1" applyProtection="1">
      <alignment vertical="center"/>
      <protection locked="0"/>
    </xf>
    <xf numFmtId="3" fontId="8" fillId="47" borderId="20" xfId="0" applyNumberFormat="1" applyFont="1" applyFill="1" applyBorder="1" applyAlignment="1" applyProtection="1">
      <alignment vertical="center"/>
      <protection hidden="1"/>
    </xf>
    <xf numFmtId="3" fontId="8" fillId="47" borderId="20" xfId="353" applyNumberFormat="1" applyFont="1" applyFill="1" applyBorder="1" applyAlignment="1" applyProtection="1">
      <alignment vertical="center"/>
      <protection locked="0"/>
    </xf>
    <xf numFmtId="3" fontId="8" fillId="47" borderId="20" xfId="0" applyNumberFormat="1" applyFont="1" applyFill="1" applyBorder="1" applyAlignment="1" applyProtection="1">
      <alignment/>
      <protection/>
    </xf>
    <xf numFmtId="3" fontId="8" fillId="49" borderId="20" xfId="352" applyNumberFormat="1" applyFont="1" applyFill="1" applyBorder="1" applyAlignment="1" applyProtection="1">
      <alignment vertical="center" wrapText="1"/>
      <protection locked="0"/>
    </xf>
    <xf numFmtId="210" fontId="107" fillId="47" borderId="0" xfId="0" applyNumberFormat="1" applyFont="1" applyFill="1" applyAlignment="1">
      <alignment horizontal="center"/>
    </xf>
    <xf numFmtId="210" fontId="107" fillId="47" borderId="0" xfId="0" applyNumberFormat="1" applyFont="1" applyFill="1" applyAlignment="1">
      <alignment horizontal="center" wrapText="1"/>
    </xf>
    <xf numFmtId="210" fontId="8" fillId="0" borderId="0" xfId="0" applyNumberFormat="1" applyFont="1" applyFill="1" applyAlignment="1">
      <alignment horizontal="left"/>
    </xf>
    <xf numFmtId="49" fontId="0" fillId="0" borderId="0" xfId="0" applyNumberFormat="1" applyFont="1" applyFill="1" applyBorder="1" applyAlignment="1">
      <alignment horizontal="center" wrapText="1"/>
    </xf>
    <xf numFmtId="49" fontId="7" fillId="0" borderId="26"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3" fillId="0" borderId="0" xfId="0" applyNumberFormat="1" applyFont="1" applyFill="1" applyAlignment="1">
      <alignment horizontal="center" wrapText="1"/>
    </xf>
    <xf numFmtId="49" fontId="7" fillId="0" borderId="21" xfId="0" applyNumberFormat="1" applyFont="1" applyFill="1" applyBorder="1" applyAlignment="1">
      <alignment horizontal="center" vertical="center" wrapText="1"/>
    </xf>
    <xf numFmtId="0" fontId="4" fillId="0" borderId="38"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3" fillId="0" borderId="0" xfId="0" applyNumberFormat="1" applyFont="1" applyFill="1" applyAlignment="1">
      <alignment horizontal="left" wrapText="1"/>
    </xf>
    <xf numFmtId="49" fontId="6" fillId="0" borderId="26"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15" fillId="0" borderId="19"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35"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39"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distributed" wrapText="1"/>
    </xf>
    <xf numFmtId="0" fontId="4" fillId="0" borderId="25" xfId="0" applyFont="1" applyFill="1" applyBorder="1" applyAlignment="1">
      <alignment horizontal="center" vertical="distributed"/>
    </xf>
    <xf numFmtId="49" fontId="7" fillId="0" borderId="40" xfId="0" applyNumberFormat="1" applyFont="1" applyFill="1" applyBorder="1" applyAlignment="1">
      <alignment horizontal="center" vertical="center" wrapText="1"/>
    </xf>
    <xf numFmtId="0" fontId="25" fillId="0" borderId="0" xfId="355" applyFont="1" applyAlignment="1">
      <alignment horizontal="center"/>
      <protection/>
    </xf>
    <xf numFmtId="49" fontId="25" fillId="47" borderId="0" xfId="355" applyNumberFormat="1" applyFont="1" applyFill="1" applyAlignment="1">
      <alignment horizontal="center"/>
      <protection/>
    </xf>
    <xf numFmtId="49" fontId="25" fillId="0" borderId="0" xfId="355" applyNumberFormat="1" applyFont="1" applyBorder="1" applyAlignment="1">
      <alignment horizontal="center" wrapText="1"/>
      <protection/>
    </xf>
    <xf numFmtId="49" fontId="7" fillId="0" borderId="26" xfId="355" applyNumberFormat="1" applyFont="1" applyFill="1" applyBorder="1" applyAlignment="1">
      <alignment horizontal="center" vertical="center" wrapText="1"/>
      <protection/>
    </xf>
    <xf numFmtId="49" fontId="7" fillId="0" borderId="25" xfId="355" applyNumberFormat="1" applyFont="1" applyFill="1" applyBorder="1" applyAlignment="1">
      <alignment horizontal="center" vertical="center" wrapText="1"/>
      <protection/>
    </xf>
    <xf numFmtId="49" fontId="27" fillId="0" borderId="25" xfId="355" applyNumberFormat="1" applyFont="1" applyFill="1" applyBorder="1" applyAlignment="1">
      <alignment horizontal="center" vertical="center" wrapText="1"/>
      <protection/>
    </xf>
    <xf numFmtId="0" fontId="55" fillId="3" borderId="26" xfId="355" applyNumberFormat="1" applyFont="1" applyFill="1" applyBorder="1" applyAlignment="1">
      <alignment horizontal="center" vertical="center" wrapText="1"/>
      <protection/>
    </xf>
    <xf numFmtId="0" fontId="55" fillId="3" borderId="25" xfId="355" applyNumberFormat="1" applyFont="1" applyFill="1" applyBorder="1" applyAlignment="1">
      <alignment horizontal="center" vertical="center" wrapText="1"/>
      <protection/>
    </xf>
    <xf numFmtId="0" fontId="56" fillId="3" borderId="26" xfId="355" applyNumberFormat="1" applyFont="1" applyFill="1" applyBorder="1" applyAlignment="1">
      <alignment horizontal="center" vertical="center" wrapText="1"/>
      <protection/>
    </xf>
    <xf numFmtId="0" fontId="56" fillId="3" borderId="25" xfId="355" applyNumberFormat="1" applyFont="1" applyFill="1" applyBorder="1" applyAlignment="1">
      <alignment horizontal="center" vertical="center" wrapText="1"/>
      <protection/>
    </xf>
    <xf numFmtId="0" fontId="16" fillId="0" borderId="20" xfId="355" applyNumberFormat="1" applyFont="1" applyBorder="1" applyAlignment="1">
      <alignment horizontal="center" vertical="center" wrapText="1"/>
      <protection/>
    </xf>
    <xf numFmtId="0" fontId="7" fillId="0" borderId="35" xfId="355" applyNumberFormat="1" applyFont="1" applyBorder="1" applyAlignment="1">
      <alignment horizontal="center" vertical="center" wrapText="1"/>
      <protection/>
    </xf>
    <xf numFmtId="0" fontId="7" fillId="0" borderId="36" xfId="355" applyNumberFormat="1" applyFont="1" applyBorder="1" applyAlignment="1">
      <alignment horizontal="center" vertical="center" wrapText="1"/>
      <protection/>
    </xf>
    <xf numFmtId="0" fontId="7" fillId="0" borderId="24" xfId="355" applyNumberFormat="1" applyFont="1" applyBorder="1" applyAlignment="1">
      <alignment horizontal="center" vertical="center" wrapText="1"/>
      <protection/>
    </xf>
    <xf numFmtId="0" fontId="7" fillId="0" borderId="39" xfId="355" applyNumberFormat="1" applyFont="1" applyBorder="1" applyAlignment="1">
      <alignment horizontal="center" vertical="center" wrapText="1"/>
      <protection/>
    </xf>
    <xf numFmtId="49" fontId="7" fillId="44" borderId="26" xfId="355" applyNumberFormat="1" applyFont="1" applyFill="1" applyBorder="1" applyAlignment="1">
      <alignment horizontal="center" vertical="center"/>
      <protection/>
    </xf>
    <xf numFmtId="49" fontId="7" fillId="44" borderId="25" xfId="355" applyNumberFormat="1" applyFont="1" applyFill="1" applyBorder="1" applyAlignment="1">
      <alignment horizontal="center" vertical="center"/>
      <protection/>
    </xf>
    <xf numFmtId="49" fontId="31" fillId="0" borderId="0" xfId="355" applyNumberFormat="1" applyFont="1" applyBorder="1" applyAlignment="1">
      <alignment horizontal="center" wrapText="1"/>
      <protection/>
    </xf>
    <xf numFmtId="49" fontId="7" fillId="0" borderId="26" xfId="355" applyNumberFormat="1" applyFont="1" applyBorder="1" applyAlignment="1">
      <alignment horizontal="center" vertical="center" wrapText="1"/>
      <protection/>
    </xf>
    <xf numFmtId="49" fontId="7" fillId="0" borderId="40" xfId="355" applyNumberFormat="1" applyFont="1" applyBorder="1" applyAlignment="1">
      <alignment horizontal="center" vertical="center" wrapText="1"/>
      <protection/>
    </xf>
    <xf numFmtId="49" fontId="7" fillId="0" borderId="25" xfId="355" applyNumberFormat="1" applyFont="1" applyBorder="1" applyAlignment="1">
      <alignment horizontal="center" vertical="center" wrapText="1"/>
      <protection/>
    </xf>
    <xf numFmtId="49" fontId="14" fillId="47" borderId="0" xfId="355" applyNumberFormat="1" applyFont="1" applyFill="1" applyAlignment="1">
      <alignment horizontal="center" vertical="center" wrapText="1"/>
      <protection/>
    </xf>
    <xf numFmtId="49" fontId="3" fillId="0" borderId="0" xfId="355" applyNumberFormat="1" applyFont="1" applyAlignment="1">
      <alignment horizontal="left"/>
      <protection/>
    </xf>
    <xf numFmtId="49" fontId="33" fillId="0" borderId="0" xfId="355" applyNumberFormat="1" applyFont="1" applyAlignment="1">
      <alignment horizontal="center"/>
      <protection/>
    </xf>
    <xf numFmtId="49" fontId="0" fillId="0" borderId="0" xfId="355" applyNumberFormat="1" applyFont="1" applyAlignment="1">
      <alignment horizontal="left"/>
      <protection/>
    </xf>
    <xf numFmtId="49" fontId="3" fillId="0" borderId="0" xfId="355" applyNumberFormat="1" applyFont="1" applyBorder="1" applyAlignment="1">
      <alignment horizontal="left" wrapText="1"/>
      <protection/>
    </xf>
    <xf numFmtId="49" fontId="0" fillId="0" borderId="0" xfId="355" applyNumberFormat="1" applyFont="1" applyBorder="1" applyAlignment="1">
      <alignment horizontal="left" wrapText="1"/>
      <protection/>
    </xf>
    <xf numFmtId="49" fontId="18" fillId="0" borderId="0" xfId="355" applyNumberFormat="1" applyFont="1" applyAlignment="1">
      <alignment horizontal="left"/>
      <protection/>
    </xf>
    <xf numFmtId="49" fontId="0" fillId="3" borderId="35" xfId="355" applyNumberFormat="1" applyFont="1" applyFill="1" applyBorder="1" applyAlignment="1">
      <alignment horizontal="center"/>
      <protection/>
    </xf>
    <xf numFmtId="49" fontId="0" fillId="3" borderId="19" xfId="355" applyNumberFormat="1" applyFont="1" applyFill="1" applyBorder="1" applyAlignment="1">
      <alignment horizontal="center"/>
      <protection/>
    </xf>
    <xf numFmtId="49" fontId="0" fillId="3" borderId="36" xfId="355" applyNumberFormat="1" applyFont="1" applyFill="1" applyBorder="1" applyAlignment="1">
      <alignment horizontal="center"/>
      <protection/>
    </xf>
    <xf numFmtId="49" fontId="18" fillId="0" borderId="22" xfId="355" applyNumberFormat="1" applyFont="1" applyFill="1" applyBorder="1" applyAlignment="1">
      <alignment horizontal="center" vertical="center"/>
      <protection/>
    </xf>
    <xf numFmtId="49" fontId="7" fillId="0" borderId="20" xfId="355" applyNumberFormat="1" applyFont="1" applyFill="1" applyBorder="1" applyAlignment="1">
      <alignment horizontal="center" vertical="center" wrapText="1"/>
      <protection/>
    </xf>
    <xf numFmtId="3" fontId="34" fillId="47" borderId="38" xfId="355" applyNumberFormat="1" applyFont="1" applyFill="1" applyBorder="1" applyAlignment="1" applyProtection="1">
      <alignment horizontal="center" vertical="center" wrapText="1"/>
      <protection/>
    </xf>
    <xf numFmtId="3" fontId="34" fillId="47" borderId="23" xfId="355" applyNumberFormat="1" applyFont="1" applyFill="1" applyBorder="1" applyAlignment="1" applyProtection="1">
      <alignment horizontal="center" vertical="center" wrapText="1"/>
      <protection/>
    </xf>
    <xf numFmtId="49" fontId="7" fillId="0" borderId="20" xfId="355" applyNumberFormat="1" applyFont="1" applyFill="1" applyBorder="1" applyAlignment="1" applyProtection="1">
      <alignment horizontal="center" vertical="center" wrapText="1"/>
      <protection/>
    </xf>
    <xf numFmtId="3" fontId="7" fillId="47" borderId="21" xfId="355" applyNumberFormat="1" applyFont="1" applyFill="1" applyBorder="1" applyAlignment="1" applyProtection="1">
      <alignment horizontal="center" vertical="center" wrapText="1"/>
      <protection/>
    </xf>
    <xf numFmtId="3" fontId="7" fillId="47" borderId="23" xfId="355" applyNumberFormat="1" applyFont="1" applyFill="1" applyBorder="1" applyAlignment="1" applyProtection="1">
      <alignment horizontal="center" vertical="center" wrapText="1"/>
      <protection/>
    </xf>
    <xf numFmtId="49" fontId="28" fillId="0" borderId="0" xfId="355" applyNumberFormat="1" applyFont="1" applyAlignment="1">
      <alignment horizontal="center" wrapText="1"/>
      <protection/>
    </xf>
    <xf numFmtId="49" fontId="25" fillId="0" borderId="0" xfId="355" applyNumberFormat="1" applyFont="1" applyAlignment="1">
      <alignment horizontal="center"/>
      <protection/>
    </xf>
    <xf numFmtId="49" fontId="65" fillId="0" borderId="0" xfId="355" applyNumberFormat="1" applyFont="1" applyBorder="1" applyAlignment="1">
      <alignment horizontal="center" wrapText="1"/>
      <protection/>
    </xf>
    <xf numFmtId="49" fontId="40" fillId="0" borderId="0" xfId="355" applyNumberFormat="1" applyFont="1" applyBorder="1" applyAlignment="1">
      <alignment horizontal="center" wrapText="1"/>
      <protection/>
    </xf>
    <xf numFmtId="49" fontId="15" fillId="0" borderId="0" xfId="355" applyNumberFormat="1" applyFont="1" applyFill="1" applyBorder="1" applyAlignment="1">
      <alignment horizontal="center" vertical="center" wrapText="1"/>
      <protection/>
    </xf>
    <xf numFmtId="49" fontId="13" fillId="0" borderId="0" xfId="355" applyNumberFormat="1" applyFont="1" applyFill="1" applyAlignment="1">
      <alignment horizontal="left" wrapText="1"/>
      <protection/>
    </xf>
    <xf numFmtId="49" fontId="13" fillId="0" borderId="0" xfId="355" applyNumberFormat="1" applyFont="1" applyFill="1" applyAlignment="1">
      <alignment horizontal="center" wrapText="1"/>
      <protection/>
    </xf>
    <xf numFmtId="0" fontId="3" fillId="0" borderId="0" xfId="355" applyFont="1" applyAlignment="1">
      <alignment horizontal="center"/>
      <protection/>
    </xf>
    <xf numFmtId="49" fontId="3" fillId="47" borderId="0" xfId="355" applyNumberFormat="1" applyFont="1" applyFill="1" applyAlignment="1">
      <alignment horizontal="center"/>
      <protection/>
    </xf>
    <xf numFmtId="49" fontId="23" fillId="0" borderId="0" xfId="355" applyNumberFormat="1" applyFont="1" applyFill="1" applyBorder="1" applyAlignment="1">
      <alignment horizontal="center" wrapText="1"/>
      <protection/>
    </xf>
    <xf numFmtId="49" fontId="15" fillId="0" borderId="0" xfId="355" applyNumberFormat="1" applyFont="1" applyFill="1" applyBorder="1" applyAlignment="1">
      <alignment horizontal="center" wrapText="1"/>
      <protection/>
    </xf>
    <xf numFmtId="49" fontId="71" fillId="0" borderId="0" xfId="355" applyNumberFormat="1" applyFont="1" applyFill="1" applyAlignment="1">
      <alignment horizontal="center"/>
      <protection/>
    </xf>
    <xf numFmtId="49" fontId="18" fillId="0" borderId="0" xfId="355" applyNumberFormat="1" applyFont="1" applyFill="1" applyAlignment="1">
      <alignment horizontal="center"/>
      <protection/>
    </xf>
    <xf numFmtId="49" fontId="3" fillId="0" borderId="20" xfId="355" applyNumberFormat="1" applyFont="1" applyFill="1" applyBorder="1" applyAlignment="1">
      <alignment horizontal="center"/>
      <protection/>
    </xf>
    <xf numFmtId="49" fontId="6" fillId="0" borderId="20" xfId="355" applyNumberFormat="1" applyFont="1" applyFill="1" applyBorder="1" applyAlignment="1">
      <alignment horizontal="center" vertical="center" wrapText="1"/>
      <protection/>
    </xf>
    <xf numFmtId="49" fontId="0" fillId="0" borderId="0" xfId="355" applyNumberFormat="1" applyFont="1" applyFill="1" applyBorder="1" applyAlignment="1">
      <alignment horizontal="left"/>
      <protection/>
    </xf>
    <xf numFmtId="49" fontId="3" fillId="0" borderId="0" xfId="355" applyNumberFormat="1" applyFont="1" applyFill="1" applyBorder="1" applyAlignment="1">
      <alignment horizontal="left"/>
      <protection/>
    </xf>
    <xf numFmtId="49" fontId="3" fillId="0" borderId="0" xfId="355" applyNumberFormat="1" applyFont="1" applyFill="1" applyBorder="1" applyAlignment="1">
      <alignment horizontal="left" wrapText="1"/>
      <protection/>
    </xf>
    <xf numFmtId="49" fontId="0" fillId="0" borderId="0" xfId="355" applyNumberFormat="1" applyFont="1" applyFill="1" applyBorder="1" applyAlignment="1">
      <alignment horizontal="left" wrapText="1"/>
      <protection/>
    </xf>
    <xf numFmtId="49" fontId="6" fillId="0" borderId="22" xfId="355" applyNumberFormat="1" applyFont="1" applyFill="1" applyBorder="1" applyAlignment="1">
      <alignment horizontal="center" vertical="center" wrapText="1"/>
      <protection/>
    </xf>
    <xf numFmtId="49" fontId="6" fillId="0" borderId="40" xfId="355" applyNumberFormat="1" applyFont="1" applyFill="1" applyBorder="1" applyAlignment="1">
      <alignment horizontal="center" vertical="center" wrapText="1"/>
      <protection/>
    </xf>
    <xf numFmtId="49" fontId="6" fillId="0" borderId="25" xfId="355" applyNumberFormat="1" applyFont="1" applyFill="1" applyBorder="1" applyAlignment="1">
      <alignment horizontal="center" vertical="center" wrapText="1"/>
      <protection/>
    </xf>
    <xf numFmtId="49" fontId="67" fillId="3" borderId="26" xfId="355" applyNumberFormat="1" applyFont="1" applyFill="1" applyBorder="1" applyAlignment="1">
      <alignment horizontal="center" vertical="center" wrapText="1"/>
      <protection/>
    </xf>
    <xf numFmtId="49" fontId="67" fillId="3" borderId="25" xfId="355" applyNumberFormat="1" applyFont="1" applyFill="1" applyBorder="1" applyAlignment="1">
      <alignment horizontal="center" vertical="center" wrapText="1"/>
      <protection/>
    </xf>
    <xf numFmtId="49" fontId="7" fillId="44" borderId="26" xfId="355" applyNumberFormat="1" applyFont="1" applyFill="1" applyBorder="1" applyAlignment="1">
      <alignment horizontal="center"/>
      <protection/>
    </xf>
    <xf numFmtId="49" fontId="7" fillId="44" borderId="25" xfId="355" applyNumberFormat="1" applyFont="1" applyFill="1" applyBorder="1" applyAlignment="1">
      <alignment horizontal="center"/>
      <protection/>
    </xf>
    <xf numFmtId="49" fontId="21" fillId="0" borderId="26" xfId="355" applyNumberFormat="1" applyFont="1" applyFill="1" applyBorder="1" applyAlignment="1">
      <alignment horizontal="center" vertical="center" wrapText="1"/>
      <protection/>
    </xf>
    <xf numFmtId="49" fontId="21" fillId="0" borderId="25" xfId="355" applyNumberFormat="1" applyFont="1" applyFill="1" applyBorder="1" applyAlignment="1">
      <alignment horizontal="center" vertical="center" wrapText="1"/>
      <protection/>
    </xf>
    <xf numFmtId="0" fontId="6" fillId="0" borderId="35" xfId="355" applyNumberFormat="1" applyFont="1" applyFill="1" applyBorder="1" applyAlignment="1">
      <alignment horizontal="center" vertical="center" wrapText="1"/>
      <protection/>
    </xf>
    <xf numFmtId="0" fontId="6" fillId="0" borderId="36" xfId="355" applyNumberFormat="1" applyFont="1" applyFill="1" applyBorder="1" applyAlignment="1">
      <alignment horizontal="center" vertical="center" wrapText="1"/>
      <protection/>
    </xf>
    <xf numFmtId="0" fontId="6" fillId="0" borderId="24" xfId="355" applyNumberFormat="1" applyFont="1" applyFill="1" applyBorder="1" applyAlignment="1">
      <alignment horizontal="center" vertical="center" wrapText="1"/>
      <protection/>
    </xf>
    <xf numFmtId="0" fontId="6" fillId="0" borderId="39" xfId="355" applyNumberFormat="1" applyFont="1" applyFill="1" applyBorder="1" applyAlignment="1">
      <alignment horizontal="center" vertical="center" wrapText="1"/>
      <protection/>
    </xf>
    <xf numFmtId="0" fontId="6" fillId="0" borderId="27" xfId="355" applyNumberFormat="1" applyFont="1" applyFill="1" applyBorder="1" applyAlignment="1">
      <alignment horizontal="center" vertical="center" wrapText="1"/>
      <protection/>
    </xf>
    <xf numFmtId="0" fontId="6" fillId="0" borderId="37" xfId="355" applyNumberFormat="1" applyFont="1" applyFill="1" applyBorder="1" applyAlignment="1">
      <alignment horizontal="center" vertical="center" wrapText="1"/>
      <protection/>
    </xf>
    <xf numFmtId="49" fontId="6" fillId="0" borderId="26" xfId="355" applyNumberFormat="1" applyFont="1" applyFill="1" applyBorder="1" applyAlignment="1">
      <alignment horizontal="center" vertical="center" wrapText="1"/>
      <protection/>
    </xf>
    <xf numFmtId="49" fontId="6" fillId="0" borderId="38" xfId="355" applyNumberFormat="1" applyFont="1" applyFill="1" applyBorder="1" applyAlignment="1">
      <alignment horizontal="center" vertical="center" wrapText="1"/>
      <protection/>
    </xf>
    <xf numFmtId="49" fontId="6" fillId="0" borderId="23" xfId="355" applyNumberFormat="1" applyFont="1" applyFill="1" applyBorder="1" applyAlignment="1">
      <alignment horizontal="center" vertical="center" wrapText="1"/>
      <protection/>
    </xf>
    <xf numFmtId="49" fontId="68" fillId="3" borderId="26" xfId="355" applyNumberFormat="1" applyFont="1" applyFill="1" applyBorder="1" applyAlignment="1">
      <alignment horizontal="center" vertical="center" wrapText="1"/>
      <protection/>
    </xf>
    <xf numFmtId="49" fontId="68" fillId="3" borderId="25" xfId="355" applyNumberFormat="1" applyFont="1" applyFill="1" applyBorder="1" applyAlignment="1">
      <alignment horizontal="center" vertical="center" wrapText="1"/>
      <protection/>
    </xf>
    <xf numFmtId="49" fontId="3" fillId="0" borderId="0" xfId="355" applyNumberFormat="1" applyFont="1" applyFill="1" applyAlignment="1">
      <alignment horizontal="left"/>
      <protection/>
    </xf>
    <xf numFmtId="49" fontId="18" fillId="0" borderId="0" xfId="355" applyNumberFormat="1" applyFont="1" applyFill="1" applyBorder="1" applyAlignment="1">
      <alignment horizontal="left"/>
      <protection/>
    </xf>
    <xf numFmtId="49" fontId="0" fillId="0" borderId="0" xfId="355" applyNumberFormat="1" applyFont="1" applyFill="1" applyAlignment="1">
      <alignment horizontal="justify" wrapText="1"/>
      <protection/>
    </xf>
    <xf numFmtId="49" fontId="3" fillId="0" borderId="0" xfId="355" applyNumberFormat="1" applyFont="1" applyFill="1" applyAlignment="1">
      <alignment horizontal="center" vertical="top" wrapText="1"/>
      <protection/>
    </xf>
    <xf numFmtId="49" fontId="13" fillId="0" borderId="0" xfId="355" applyNumberFormat="1" applyFont="1" applyBorder="1" applyAlignment="1">
      <alignment wrapText="1"/>
      <protection/>
    </xf>
    <xf numFmtId="49" fontId="13" fillId="0" borderId="0" xfId="355" applyNumberFormat="1" applyFont="1" applyBorder="1" applyAlignment="1">
      <alignment horizontal="center" wrapText="1"/>
      <protection/>
    </xf>
    <xf numFmtId="49" fontId="7" fillId="44" borderId="26" xfId="355" applyNumberFormat="1" applyFont="1" applyFill="1" applyBorder="1" applyAlignment="1">
      <alignment horizontal="center" vertical="center" wrapText="1"/>
      <protection/>
    </xf>
    <xf numFmtId="49" fontId="7" fillId="44" borderId="25" xfId="355" applyNumberFormat="1" applyFont="1" applyFill="1" applyBorder="1" applyAlignment="1">
      <alignment horizontal="center" vertical="center" wrapText="1"/>
      <protection/>
    </xf>
    <xf numFmtId="49" fontId="16" fillId="0" borderId="26" xfId="355" applyNumberFormat="1" applyFont="1" applyBorder="1" applyAlignment="1">
      <alignment horizontal="center" wrapText="1"/>
      <protection/>
    </xf>
    <xf numFmtId="49" fontId="16" fillId="0" borderId="25" xfId="355" applyNumberFormat="1" applyFont="1" applyBorder="1" applyAlignment="1">
      <alignment horizontal="center" wrapText="1"/>
      <protection/>
    </xf>
    <xf numFmtId="49" fontId="28" fillId="0" borderId="0" xfId="355" applyNumberFormat="1" applyFont="1" applyBorder="1" applyAlignment="1">
      <alignment horizontal="center" wrapText="1"/>
      <protection/>
    </xf>
    <xf numFmtId="49" fontId="28" fillId="0" borderId="0" xfId="355" applyNumberFormat="1" applyFont="1" applyAlignment="1">
      <alignment horizontal="center"/>
      <protection/>
    </xf>
    <xf numFmtId="49" fontId="31" fillId="0" borderId="0" xfId="355" applyNumberFormat="1" applyFont="1" applyBorder="1" applyAlignment="1">
      <alignment horizontal="center"/>
      <protection/>
    </xf>
    <xf numFmtId="49" fontId="25" fillId="0" borderId="0" xfId="355" applyNumberFormat="1" applyFont="1" applyBorder="1" applyAlignment="1">
      <alignment horizontal="center"/>
      <protection/>
    </xf>
    <xf numFmtId="49" fontId="7" fillId="0" borderId="35" xfId="355" applyNumberFormat="1" applyFont="1" applyFill="1" applyBorder="1" applyAlignment="1">
      <alignment horizontal="center" vertical="center" wrapText="1"/>
      <protection/>
    </xf>
    <xf numFmtId="49" fontId="7" fillId="0" borderId="36" xfId="355" applyNumberFormat="1" applyFont="1" applyFill="1" applyBorder="1" applyAlignment="1">
      <alignment horizontal="center" vertical="center" wrapText="1"/>
      <protection/>
    </xf>
    <xf numFmtId="49" fontId="7" fillId="0" borderId="24" xfId="355" applyNumberFormat="1" applyFont="1" applyFill="1" applyBorder="1" applyAlignment="1">
      <alignment horizontal="center" vertical="center" wrapText="1"/>
      <protection/>
    </xf>
    <xf numFmtId="49" fontId="7" fillId="0" borderId="39" xfId="355" applyNumberFormat="1" applyFont="1" applyFill="1" applyBorder="1" applyAlignment="1">
      <alignment horizontal="center" vertical="center" wrapText="1"/>
      <protection/>
    </xf>
    <xf numFmtId="49" fontId="7" fillId="0" borderId="27" xfId="355" applyNumberFormat="1" applyFont="1" applyFill="1" applyBorder="1" applyAlignment="1">
      <alignment horizontal="center" vertical="center" wrapText="1"/>
      <protection/>
    </xf>
    <xf numFmtId="49" fontId="7" fillId="0" borderId="37" xfId="355" applyNumberFormat="1" applyFont="1" applyFill="1" applyBorder="1" applyAlignment="1">
      <alignment horizontal="center" vertical="center" wrapText="1"/>
      <protection/>
    </xf>
    <xf numFmtId="49" fontId="56" fillId="3" borderId="26" xfId="355" applyNumberFormat="1" applyFont="1" applyFill="1" applyBorder="1" applyAlignment="1">
      <alignment horizontal="center" wrapText="1"/>
      <protection/>
    </xf>
    <xf numFmtId="49" fontId="56" fillId="3" borderId="25" xfId="355" applyNumberFormat="1" applyFont="1" applyFill="1" applyBorder="1" applyAlignment="1">
      <alignment horizontal="center" wrapText="1"/>
      <protection/>
    </xf>
    <xf numFmtId="49" fontId="55" fillId="3" borderId="26" xfId="355" applyNumberFormat="1" applyFont="1" applyFill="1" applyBorder="1" applyAlignment="1">
      <alignment horizontal="center" wrapText="1"/>
      <protection/>
    </xf>
    <xf numFmtId="49" fontId="55" fillId="3" borderId="25" xfId="355" applyNumberFormat="1" applyFont="1" applyFill="1" applyBorder="1" applyAlignment="1">
      <alignment horizontal="center" wrapText="1"/>
      <protection/>
    </xf>
    <xf numFmtId="49" fontId="14" fillId="0" borderId="0" xfId="355" applyNumberFormat="1" applyFont="1" applyAlignment="1">
      <alignment horizontal="center" wrapText="1"/>
      <protection/>
    </xf>
    <xf numFmtId="49" fontId="18" fillId="0" borderId="22" xfId="355" applyNumberFormat="1" applyFont="1" applyBorder="1" applyAlignment="1">
      <alignment horizontal="left"/>
      <protection/>
    </xf>
    <xf numFmtId="49" fontId="18" fillId="0" borderId="0" xfId="355" applyNumberFormat="1" applyFont="1" applyAlignment="1">
      <alignment horizontal="center"/>
      <protection/>
    </xf>
    <xf numFmtId="49" fontId="18" fillId="0" borderId="0" xfId="355" applyNumberFormat="1" applyFont="1" applyBorder="1" applyAlignment="1">
      <alignment horizontal="left"/>
      <protection/>
    </xf>
    <xf numFmtId="49" fontId="0" fillId="0" borderId="0" xfId="355" applyNumberFormat="1" applyFont="1" applyAlignment="1">
      <alignment horizontal="left" wrapText="1"/>
      <protection/>
    </xf>
    <xf numFmtId="49" fontId="3" fillId="0" borderId="0" xfId="355" applyNumberFormat="1" applyFont="1" applyAlignment="1">
      <alignment horizontal="left" wrapText="1"/>
      <protection/>
    </xf>
    <xf numFmtId="49" fontId="0" fillId="0" borderId="0" xfId="355" applyNumberFormat="1" applyFont="1" applyAlignment="1">
      <alignment/>
      <protection/>
    </xf>
    <xf numFmtId="49" fontId="3" fillId="0" borderId="20" xfId="355" applyNumberFormat="1" applyFont="1" applyFill="1" applyBorder="1" applyAlignment="1">
      <alignment horizontal="center" vertical="center" wrapText="1"/>
      <protection/>
    </xf>
    <xf numFmtId="49" fontId="20" fillId="0" borderId="20" xfId="355" applyNumberFormat="1" applyFont="1" applyFill="1" applyBorder="1" applyAlignment="1">
      <alignment horizontal="center" vertical="center" wrapText="1"/>
      <protection/>
    </xf>
    <xf numFmtId="49" fontId="3" fillId="0" borderId="20" xfId="355" applyNumberFormat="1" applyFont="1" applyBorder="1" applyAlignment="1">
      <alignment horizontal="center"/>
      <protection/>
    </xf>
    <xf numFmtId="49" fontId="76" fillId="4" borderId="21" xfId="357" applyNumberFormat="1" applyFont="1" applyFill="1" applyBorder="1" applyAlignment="1">
      <alignment horizontal="center" vertical="center" wrapText="1"/>
      <protection/>
    </xf>
    <xf numFmtId="49" fontId="76" fillId="4" borderId="38" xfId="357" applyNumberFormat="1" applyFont="1" applyFill="1" applyBorder="1" applyAlignment="1">
      <alignment horizontal="center" vertical="center" wrapText="1"/>
      <protection/>
    </xf>
    <xf numFmtId="49" fontId="76" fillId="4" borderId="23" xfId="357" applyNumberFormat="1" applyFont="1" applyFill="1" applyBorder="1" applyAlignment="1">
      <alignment horizontal="center" vertical="center" wrapText="1"/>
      <protection/>
    </xf>
    <xf numFmtId="49" fontId="0" fillId="0" borderId="0" xfId="357" applyNumberFormat="1" applyFont="1" applyAlignment="1">
      <alignment horizontal="left"/>
      <protection/>
    </xf>
    <xf numFmtId="49" fontId="84" fillId="0" borderId="26" xfId="357" applyNumberFormat="1" applyFont="1" applyBorder="1" applyAlignment="1">
      <alignment horizontal="center" vertical="center" wrapText="1"/>
      <protection/>
    </xf>
    <xf numFmtId="49" fontId="84" fillId="0" borderId="25" xfId="357" applyNumberFormat="1" applyFont="1" applyBorder="1" applyAlignment="1">
      <alignment horizontal="center" vertical="center" wrapText="1"/>
      <protection/>
    </xf>
    <xf numFmtId="49" fontId="31" fillId="0" borderId="0" xfId="357" applyNumberFormat="1" applyFont="1" applyBorder="1" applyAlignment="1">
      <alignment horizontal="center" wrapText="1"/>
      <protection/>
    </xf>
    <xf numFmtId="49" fontId="6" fillId="0" borderId="40" xfId="357" applyNumberFormat="1" applyFont="1" applyFill="1" applyBorder="1" applyAlignment="1">
      <alignment horizontal="center" vertical="center"/>
      <protection/>
    </xf>
    <xf numFmtId="49" fontId="6" fillId="0" borderId="20" xfId="357" applyNumberFormat="1" applyFont="1" applyFill="1" applyBorder="1" applyAlignment="1">
      <alignment horizontal="center" vertical="center" wrapText="1"/>
      <protection/>
    </xf>
    <xf numFmtId="49" fontId="6" fillId="0" borderId="21" xfId="357" applyNumberFormat="1" applyFont="1" applyFill="1" applyBorder="1" applyAlignment="1">
      <alignment horizontal="center" vertical="center" wrapText="1"/>
      <protection/>
    </xf>
    <xf numFmtId="49" fontId="6" fillId="0" borderId="38" xfId="357" applyNumberFormat="1" applyFont="1" applyFill="1" applyBorder="1" applyAlignment="1">
      <alignment horizontal="center" vertical="center" wrapText="1"/>
      <protection/>
    </xf>
    <xf numFmtId="49" fontId="6" fillId="0" borderId="23" xfId="357" applyNumberFormat="1" applyFont="1" applyFill="1" applyBorder="1" applyAlignment="1">
      <alignment horizontal="center" vertical="center" wrapText="1"/>
      <protection/>
    </xf>
    <xf numFmtId="49" fontId="13" fillId="0" borderId="0" xfId="357" applyNumberFormat="1" applyFont="1" applyAlignment="1">
      <alignment horizontal="center"/>
      <protection/>
    </xf>
    <xf numFmtId="49" fontId="31" fillId="0" borderId="0" xfId="357" applyNumberFormat="1" applyFont="1" applyBorder="1" applyAlignment="1">
      <alignment horizontal="center"/>
      <protection/>
    </xf>
    <xf numFmtId="49" fontId="86" fillId="3" borderId="26" xfId="357" applyNumberFormat="1" applyFont="1" applyFill="1" applyBorder="1" applyAlignment="1">
      <alignment horizontal="center" vertical="center" wrapText="1"/>
      <protection/>
    </xf>
    <xf numFmtId="49" fontId="86" fillId="3" borderId="25" xfId="357" applyNumberFormat="1" applyFont="1" applyFill="1" applyBorder="1" applyAlignment="1">
      <alignment horizontal="center" vertical="center" wrapText="1"/>
      <protection/>
    </xf>
    <xf numFmtId="49" fontId="28" fillId="0" borderId="0" xfId="357" applyNumberFormat="1" applyFont="1" applyAlignment="1">
      <alignment horizontal="center"/>
      <protection/>
    </xf>
    <xf numFmtId="0" fontId="25" fillId="47" borderId="0" xfId="357" applyFont="1" applyFill="1" applyBorder="1" applyAlignment="1">
      <alignment horizontal="center"/>
      <protection/>
    </xf>
    <xf numFmtId="49" fontId="31" fillId="0" borderId="0" xfId="357" applyNumberFormat="1" applyFont="1" applyAlignment="1">
      <alignment horizontal="center"/>
      <protection/>
    </xf>
    <xf numFmtId="49" fontId="25" fillId="0" borderId="0" xfId="357" applyNumberFormat="1" applyFont="1" applyBorder="1" applyAlignment="1">
      <alignment horizontal="center" wrapText="1"/>
      <protection/>
    </xf>
    <xf numFmtId="49" fontId="6" fillId="0" borderId="26" xfId="357" applyNumberFormat="1" applyFont="1" applyBorder="1" applyAlignment="1">
      <alignment horizontal="center" vertical="center" wrapText="1"/>
      <protection/>
    </xf>
    <xf numFmtId="49" fontId="6" fillId="0" borderId="25" xfId="357" applyNumberFormat="1" applyFont="1" applyBorder="1" applyAlignment="1">
      <alignment horizontal="center" vertical="center" wrapText="1"/>
      <protection/>
    </xf>
    <xf numFmtId="49" fontId="25" fillId="0" borderId="0" xfId="357" applyNumberFormat="1" applyFont="1" applyBorder="1" applyAlignment="1">
      <alignment horizontal="center"/>
      <protection/>
    </xf>
    <xf numFmtId="49" fontId="3" fillId="0" borderId="0" xfId="357" applyNumberFormat="1" applyFont="1" applyBorder="1" applyAlignment="1">
      <alignment horizontal="left"/>
      <protection/>
    </xf>
    <xf numFmtId="49" fontId="6" fillId="0" borderId="35" xfId="357" applyNumberFormat="1" applyFont="1" applyFill="1" applyBorder="1" applyAlignment="1">
      <alignment horizontal="center" vertical="center"/>
      <protection/>
    </xf>
    <xf numFmtId="49" fontId="6" fillId="0" borderId="36" xfId="357" applyNumberFormat="1" applyFont="1" applyFill="1" applyBorder="1" applyAlignment="1">
      <alignment horizontal="center" vertical="center"/>
      <protection/>
    </xf>
    <xf numFmtId="49" fontId="6" fillId="0" borderId="24" xfId="357" applyNumberFormat="1" applyFont="1" applyFill="1" applyBorder="1" applyAlignment="1">
      <alignment horizontal="center" vertical="center"/>
      <protection/>
    </xf>
    <xf numFmtId="49" fontId="6" fillId="0" borderId="39" xfId="357" applyNumberFormat="1" applyFont="1" applyFill="1" applyBorder="1" applyAlignment="1">
      <alignment horizontal="center" vertical="center"/>
      <protection/>
    </xf>
    <xf numFmtId="49" fontId="6" fillId="0" borderId="27" xfId="357" applyNumberFormat="1" applyFont="1" applyFill="1" applyBorder="1" applyAlignment="1">
      <alignment horizontal="center" vertical="center"/>
      <protection/>
    </xf>
    <xf numFmtId="49" fontId="6" fillId="0" borderId="37" xfId="357" applyNumberFormat="1" applyFont="1" applyFill="1" applyBorder="1" applyAlignment="1">
      <alignment horizontal="center" vertical="center"/>
      <protection/>
    </xf>
    <xf numFmtId="49" fontId="14" fillId="0" borderId="0" xfId="357" applyNumberFormat="1" applyFont="1" applyFill="1" applyAlignment="1">
      <alignment horizontal="center" wrapText="1"/>
      <protection/>
    </xf>
    <xf numFmtId="49" fontId="14" fillId="0" borderId="0" xfId="357" applyNumberFormat="1" applyFont="1" applyAlignment="1">
      <alignment horizontal="center"/>
      <protection/>
    </xf>
    <xf numFmtId="49" fontId="4" fillId="0" borderId="0" xfId="357" applyNumberFormat="1" applyFont="1" applyAlignment="1">
      <alignment horizontal="left"/>
      <protection/>
    </xf>
    <xf numFmtId="49" fontId="6" fillId="0" borderId="26" xfId="357" applyNumberFormat="1" applyFont="1" applyFill="1" applyBorder="1" applyAlignment="1">
      <alignment horizontal="center" vertical="center"/>
      <protection/>
    </xf>
    <xf numFmtId="49" fontId="3" fillId="0" borderId="0" xfId="357" applyNumberFormat="1" applyFont="1" applyFill="1" applyAlignment="1">
      <alignment horizontal="left"/>
      <protection/>
    </xf>
    <xf numFmtId="49" fontId="33" fillId="0" borderId="0" xfId="357" applyNumberFormat="1" applyFont="1" applyAlignment="1">
      <alignment horizontal="center"/>
      <protection/>
    </xf>
    <xf numFmtId="49" fontId="18" fillId="0" borderId="0" xfId="357" applyNumberFormat="1" applyFont="1" applyBorder="1" applyAlignment="1">
      <alignment horizontal="left"/>
      <protection/>
    </xf>
    <xf numFmtId="49" fontId="6" fillId="0" borderId="26" xfId="357" applyNumberFormat="1" applyFont="1" applyFill="1" applyBorder="1" applyAlignment="1">
      <alignment horizontal="center" vertical="center" wrapText="1"/>
      <protection/>
    </xf>
    <xf numFmtId="49" fontId="85" fillId="3" borderId="26" xfId="357" applyNumberFormat="1" applyFont="1" applyFill="1" applyBorder="1" applyAlignment="1">
      <alignment horizontal="center" vertical="center" wrapText="1"/>
      <protection/>
    </xf>
    <xf numFmtId="49" fontId="85" fillId="3" borderId="25" xfId="357" applyNumberFormat="1" applyFont="1" applyFill="1" applyBorder="1" applyAlignment="1">
      <alignment horizontal="center" vertical="center" wrapText="1"/>
      <protection/>
    </xf>
    <xf numFmtId="49" fontId="6" fillId="0" borderId="25" xfId="357" applyNumberFormat="1" applyFont="1" applyFill="1" applyBorder="1" applyAlignment="1">
      <alignment horizontal="center" vertical="center" wrapText="1"/>
      <protection/>
    </xf>
    <xf numFmtId="0" fontId="6" fillId="0" borderId="21" xfId="357" applyFont="1" applyBorder="1" applyAlignment="1">
      <alignment horizontal="center" vertical="center" wrapText="1"/>
      <protection/>
    </xf>
    <xf numFmtId="0" fontId="6" fillId="0" borderId="38" xfId="357" applyFont="1" applyBorder="1" applyAlignment="1">
      <alignment horizontal="center" vertical="center" wrapText="1"/>
      <protection/>
    </xf>
    <xf numFmtId="0" fontId="6" fillId="0" borderId="23" xfId="357" applyFont="1" applyBorder="1" applyAlignment="1">
      <alignment horizontal="center" vertical="center" wrapText="1"/>
      <protection/>
    </xf>
    <xf numFmtId="0" fontId="6" fillId="0" borderId="20" xfId="357" applyFont="1" applyBorder="1" applyAlignment="1">
      <alignment horizontal="center" vertical="center" wrapText="1"/>
      <protection/>
    </xf>
    <xf numFmtId="0" fontId="21" fillId="0" borderId="26" xfId="357" applyFont="1" applyBorder="1" applyAlignment="1">
      <alignment horizontal="center" vertical="center" wrapText="1"/>
      <protection/>
    </xf>
    <xf numFmtId="0" fontId="21" fillId="0" borderId="25" xfId="357" applyFont="1" applyBorder="1" applyAlignment="1">
      <alignment horizontal="center" vertical="center" wrapText="1"/>
      <protection/>
    </xf>
    <xf numFmtId="49" fontId="6" fillId="0" borderId="19" xfId="357" applyNumberFormat="1" applyFont="1" applyFill="1" applyBorder="1" applyAlignment="1">
      <alignment horizontal="center" vertical="center"/>
      <protection/>
    </xf>
    <xf numFmtId="49" fontId="6" fillId="0" borderId="0" xfId="357" applyNumberFormat="1" applyFont="1" applyFill="1" applyBorder="1" applyAlignment="1">
      <alignment horizontal="center" vertical="center"/>
      <protection/>
    </xf>
    <xf numFmtId="49" fontId="6" fillId="0" borderId="22" xfId="357" applyNumberFormat="1" applyFont="1" applyFill="1" applyBorder="1" applyAlignment="1">
      <alignment horizontal="center" vertical="center"/>
      <protection/>
    </xf>
    <xf numFmtId="0" fontId="6" fillId="0" borderId="25" xfId="357" applyFont="1" applyBorder="1" applyAlignment="1">
      <alignment horizontal="center" vertical="center" wrapText="1"/>
      <protection/>
    </xf>
    <xf numFmtId="0" fontId="6" fillId="0" borderId="40" xfId="357" applyFont="1" applyBorder="1" applyAlignment="1">
      <alignment horizontal="center" vertical="center"/>
      <protection/>
    </xf>
    <xf numFmtId="0" fontId="6" fillId="0" borderId="25" xfId="357" applyFont="1" applyBorder="1" applyAlignment="1">
      <alignment horizontal="center" vertical="center"/>
      <protection/>
    </xf>
    <xf numFmtId="0" fontId="6" fillId="0" borderId="20" xfId="357" applyFont="1" applyBorder="1" applyAlignment="1">
      <alignment horizontal="center" vertical="center"/>
      <protection/>
    </xf>
    <xf numFmtId="0" fontId="6" fillId="0" borderId="26" xfId="357" applyFont="1" applyBorder="1" applyAlignment="1">
      <alignment horizontal="center" vertical="center" wrapText="1"/>
      <protection/>
    </xf>
    <xf numFmtId="0" fontId="13" fillId="0" borderId="22" xfId="357" applyFont="1" applyBorder="1" applyAlignment="1">
      <alignment horizontal="left"/>
      <protection/>
    </xf>
    <xf numFmtId="0" fontId="6" fillId="0" borderId="26" xfId="357" applyFont="1" applyBorder="1" applyAlignment="1">
      <alignment horizontal="center" vertical="center"/>
      <protection/>
    </xf>
    <xf numFmtId="0" fontId="67" fillId="3" borderId="26" xfId="357" applyFont="1" applyFill="1" applyBorder="1" applyAlignment="1">
      <alignment horizontal="center" vertical="center" wrapText="1"/>
      <protection/>
    </xf>
    <xf numFmtId="0" fontId="67" fillId="3" borderId="25" xfId="357" applyFont="1" applyFill="1" applyBorder="1" applyAlignment="1">
      <alignment horizontal="center" vertical="center" wrapText="1"/>
      <protection/>
    </xf>
    <xf numFmtId="0" fontId="12" fillId="0" borderId="20" xfId="357" applyFont="1" applyBorder="1" applyAlignment="1">
      <alignment horizontal="center" vertical="center" wrapText="1"/>
      <protection/>
    </xf>
    <xf numFmtId="0" fontId="6" fillId="0" borderId="20" xfId="357" applyFont="1" applyFill="1" applyBorder="1" applyAlignment="1">
      <alignment horizontal="center" vertical="center" wrapText="1"/>
      <protection/>
    </xf>
    <xf numFmtId="0" fontId="6" fillId="0" borderId="35" xfId="357" applyFont="1" applyBorder="1" applyAlignment="1">
      <alignment horizontal="center" vertical="center" wrapText="1"/>
      <protection/>
    </xf>
    <xf numFmtId="0" fontId="6" fillId="0" borderId="19" xfId="357" applyFont="1" applyBorder="1" applyAlignment="1">
      <alignment horizontal="center" vertical="center" wrapText="1"/>
      <protection/>
    </xf>
    <xf numFmtId="0" fontId="6" fillId="0" borderId="36" xfId="357" applyFont="1" applyBorder="1" applyAlignment="1">
      <alignment horizontal="center" vertical="center" wrapText="1"/>
      <protection/>
    </xf>
    <xf numFmtId="0" fontId="6" fillId="0" borderId="24" xfId="357" applyFont="1" applyBorder="1" applyAlignment="1">
      <alignment horizontal="center" vertical="center" wrapText="1"/>
      <protection/>
    </xf>
    <xf numFmtId="0" fontId="6" fillId="0" borderId="0" xfId="357" applyFont="1" applyBorder="1" applyAlignment="1">
      <alignment horizontal="center" vertical="center" wrapText="1"/>
      <protection/>
    </xf>
    <xf numFmtId="0" fontId="6" fillId="0" borderId="39" xfId="357" applyFont="1" applyBorder="1" applyAlignment="1">
      <alignment horizontal="center" vertical="center" wrapText="1"/>
      <protection/>
    </xf>
    <xf numFmtId="0" fontId="68" fillId="3" borderId="26" xfId="357" applyFont="1" applyFill="1" applyBorder="1" applyAlignment="1">
      <alignment horizontal="center" vertical="center" wrapText="1"/>
      <protection/>
    </xf>
    <xf numFmtId="0" fontId="68" fillId="3" borderId="25" xfId="357" applyFont="1" applyFill="1" applyBorder="1" applyAlignment="1">
      <alignment horizontal="center" vertical="center" wrapText="1"/>
      <protection/>
    </xf>
    <xf numFmtId="0" fontId="31" fillId="0" borderId="0" xfId="357" applyNumberFormat="1" applyFont="1" applyBorder="1" applyAlignment="1">
      <alignment horizontal="center"/>
      <protection/>
    </xf>
    <xf numFmtId="0" fontId="31" fillId="0" borderId="0" xfId="357" applyFont="1" applyBorder="1" applyAlignment="1">
      <alignment horizontal="center" wrapText="1"/>
      <protection/>
    </xf>
    <xf numFmtId="0" fontId="25" fillId="0" borderId="0" xfId="357" applyFont="1" applyBorder="1" applyAlignment="1">
      <alignment horizontal="center" wrapText="1"/>
      <protection/>
    </xf>
    <xf numFmtId="0" fontId="25" fillId="0" borderId="0" xfId="357" applyNumberFormat="1" applyFont="1" applyBorder="1" applyAlignment="1">
      <alignment horizontal="center"/>
      <protection/>
    </xf>
    <xf numFmtId="0" fontId="88" fillId="0" borderId="0" xfId="357" applyFont="1" applyAlignment="1">
      <alignment horizontal="center"/>
      <protection/>
    </xf>
    <xf numFmtId="0" fontId="3" fillId="0" borderId="0" xfId="357" applyNumberFormat="1" applyFont="1" applyAlignment="1">
      <alignment horizontal="left"/>
      <protection/>
    </xf>
    <xf numFmtId="0" fontId="0" fillId="0" borderId="0" xfId="357" applyFont="1" applyAlignment="1">
      <alignment horizontal="left"/>
      <protection/>
    </xf>
    <xf numFmtId="0" fontId="0" fillId="0" borderId="0" xfId="357" applyFont="1" applyBorder="1" applyAlignment="1">
      <alignment/>
      <protection/>
    </xf>
    <xf numFmtId="0" fontId="14" fillId="0" borderId="0" xfId="357" applyFont="1" applyAlignment="1">
      <alignment horizontal="center" wrapText="1"/>
      <protection/>
    </xf>
    <xf numFmtId="0" fontId="13" fillId="0" borderId="0" xfId="357" applyFont="1" applyBorder="1" applyAlignment="1">
      <alignment horizontal="center"/>
      <protection/>
    </xf>
    <xf numFmtId="0" fontId="14" fillId="0" borderId="0" xfId="357" applyFont="1" applyAlignment="1">
      <alignment horizontal="center"/>
      <protection/>
    </xf>
    <xf numFmtId="0" fontId="33" fillId="0" borderId="0" xfId="357" applyFont="1" applyAlignment="1">
      <alignment horizontal="center"/>
      <protection/>
    </xf>
    <xf numFmtId="3" fontId="0" fillId="47" borderId="0" xfId="357" applyNumberFormat="1" applyFont="1" applyFill="1" applyBorder="1" applyAlignment="1">
      <alignment horizontal="left"/>
      <protection/>
    </xf>
    <xf numFmtId="0" fontId="3" fillId="0" borderId="0" xfId="357" applyFont="1" applyBorder="1" applyAlignment="1">
      <alignment horizontal="left"/>
      <protection/>
    </xf>
    <xf numFmtId="0" fontId="0" fillId="0" borderId="0" xfId="357" applyFont="1" applyBorder="1" applyAlignment="1">
      <alignment horizontal="left"/>
      <protection/>
    </xf>
    <xf numFmtId="49" fontId="19" fillId="0" borderId="22" xfId="357" applyNumberFormat="1" applyFont="1" applyBorder="1" applyAlignment="1">
      <alignment horizontal="center"/>
      <protection/>
    </xf>
    <xf numFmtId="49" fontId="74" fillId="0" borderId="20" xfId="357" applyNumberFormat="1" applyFont="1" applyBorder="1" applyAlignment="1">
      <alignment horizontal="center" vertical="center" wrapText="1"/>
      <protection/>
    </xf>
    <xf numFmtId="49" fontId="12" fillId="0" borderId="20" xfId="357" applyNumberFormat="1" applyFont="1" applyBorder="1" applyAlignment="1">
      <alignment horizontal="center" vertical="center" wrapText="1"/>
      <protection/>
    </xf>
    <xf numFmtId="49" fontId="3" fillId="0" borderId="0" xfId="357" applyNumberFormat="1" applyFont="1" applyAlignment="1">
      <alignment horizontal="left"/>
      <protection/>
    </xf>
    <xf numFmtId="49" fontId="5" fillId="0" borderId="0" xfId="357" applyNumberFormat="1" applyFont="1" applyBorder="1" applyAlignment="1">
      <alignment horizontal="left" wrapText="1"/>
      <protection/>
    </xf>
    <xf numFmtId="49" fontId="5" fillId="0" borderId="0" xfId="357" applyNumberFormat="1" applyFont="1" applyBorder="1" applyAlignment="1">
      <alignment horizontal="left"/>
      <protection/>
    </xf>
    <xf numFmtId="49" fontId="14" fillId="0" borderId="0" xfId="357" applyNumberFormat="1" applyFont="1" applyAlignment="1">
      <alignment horizontal="center" wrapText="1"/>
      <protection/>
    </xf>
    <xf numFmtId="49" fontId="0" fillId="47" borderId="0" xfId="357" applyNumberFormat="1" applyFont="1" applyFill="1" applyBorder="1" applyAlignment="1">
      <alignment horizontal="left" vertical="top" wrapText="1"/>
      <protection/>
    </xf>
    <xf numFmtId="49" fontId="3" fillId="47" borderId="0" xfId="357" applyNumberFormat="1" applyFont="1" applyFill="1" applyBorder="1" applyAlignment="1">
      <alignment horizontal="left" vertical="top" wrapText="1"/>
      <protection/>
    </xf>
    <xf numFmtId="49" fontId="0" fillId="0" borderId="0" xfId="357" applyNumberFormat="1" applyFont="1" applyAlignment="1">
      <alignment horizontal="justify" vertical="top"/>
      <protection/>
    </xf>
    <xf numFmtId="49" fontId="0" fillId="0" borderId="0" xfId="357" applyNumberFormat="1" applyFont="1" applyBorder="1" applyAlignment="1">
      <alignment horizontal="justify" vertical="top" wrapText="1"/>
      <protection/>
    </xf>
    <xf numFmtId="49" fontId="0" fillId="0" borderId="0" xfId="357" applyNumberFormat="1" applyFont="1" applyBorder="1" applyAlignment="1">
      <alignment horizontal="justify" vertical="top"/>
      <protection/>
    </xf>
    <xf numFmtId="49" fontId="18" fillId="0" borderId="0" xfId="357" applyNumberFormat="1" applyFont="1" applyAlignment="1">
      <alignment horizontal="center" wrapText="1"/>
      <protection/>
    </xf>
    <xf numFmtId="49" fontId="79" fillId="0" borderId="0" xfId="357" applyNumberFormat="1" applyFont="1" applyAlignment="1">
      <alignment horizontal="center"/>
      <protection/>
    </xf>
    <xf numFmtId="49" fontId="6" fillId="0" borderId="20" xfId="357" applyNumberFormat="1" applyFont="1" applyFill="1" applyBorder="1" applyAlignment="1">
      <alignment horizontal="center" vertical="center"/>
      <protection/>
    </xf>
    <xf numFmtId="49" fontId="77" fillId="3" borderId="26" xfId="357" applyNumberFormat="1" applyFont="1" applyFill="1" applyBorder="1" applyAlignment="1">
      <alignment horizontal="center" vertical="center" wrapText="1"/>
      <protection/>
    </xf>
    <xf numFmtId="49" fontId="77" fillId="3" borderId="25" xfId="357" applyNumberFormat="1" applyFont="1" applyFill="1" applyBorder="1" applyAlignment="1">
      <alignment horizontal="center" vertical="center" wrapText="1"/>
      <protection/>
    </xf>
    <xf numFmtId="49" fontId="75" fillId="3" borderId="26" xfId="357" applyNumberFormat="1" applyFont="1" applyFill="1" applyBorder="1" applyAlignment="1">
      <alignment horizontal="center" vertical="center" wrapText="1"/>
      <protection/>
    </xf>
    <xf numFmtId="49" fontId="75" fillId="3" borderId="25" xfId="357" applyNumberFormat="1" applyFont="1" applyFill="1" applyBorder="1" applyAlignment="1">
      <alignment horizontal="center" vertical="center" wrapText="1"/>
      <protection/>
    </xf>
    <xf numFmtId="49" fontId="6" fillId="0" borderId="21" xfId="357" applyNumberFormat="1" applyFont="1" applyBorder="1" applyAlignment="1">
      <alignment horizontal="center" vertical="center" wrapText="1"/>
      <protection/>
    </xf>
    <xf numFmtId="49" fontId="6" fillId="0" borderId="38" xfId="357" applyNumberFormat="1" applyFont="1" applyBorder="1" applyAlignment="1">
      <alignment horizontal="center" vertical="center" wrapText="1"/>
      <protection/>
    </xf>
    <xf numFmtId="49" fontId="6" fillId="0" borderId="23" xfId="357" applyNumberFormat="1" applyFont="1" applyBorder="1" applyAlignment="1">
      <alignment horizontal="center" vertical="center" wrapText="1"/>
      <protection/>
    </xf>
    <xf numFmtId="49" fontId="31" fillId="0" borderId="0" xfId="357" applyNumberFormat="1" applyFont="1" applyBorder="1" applyAlignment="1">
      <alignment horizontal="left" wrapText="1"/>
      <protection/>
    </xf>
    <xf numFmtId="49" fontId="18" fillId="0" borderId="22" xfId="357" applyNumberFormat="1" applyFont="1" applyBorder="1" applyAlignment="1">
      <alignment horizontal="left"/>
      <protection/>
    </xf>
    <xf numFmtId="49" fontId="6" fillId="0" borderId="40" xfId="357" applyNumberFormat="1" applyFont="1" applyBorder="1" applyAlignment="1">
      <alignment horizontal="center" vertical="center" wrapText="1"/>
      <protection/>
    </xf>
    <xf numFmtId="49" fontId="19" fillId="0" borderId="0" xfId="357" applyNumberFormat="1" applyFont="1" applyAlignment="1">
      <alignment horizontal="center"/>
      <protection/>
    </xf>
    <xf numFmtId="49" fontId="7" fillId="0" borderId="0" xfId="357" applyNumberFormat="1" applyFont="1" applyAlignment="1">
      <alignment horizontal="left"/>
      <protection/>
    </xf>
    <xf numFmtId="49" fontId="13" fillId="0" borderId="0" xfId="357" applyNumberFormat="1" applyFont="1" applyBorder="1" applyAlignment="1">
      <alignment horizontal="left"/>
      <protection/>
    </xf>
    <xf numFmtId="49" fontId="7" fillId="0" borderId="26" xfId="357" applyNumberFormat="1" applyFont="1" applyBorder="1" applyAlignment="1">
      <alignment horizontal="center" vertical="center" wrapText="1"/>
      <protection/>
    </xf>
    <xf numFmtId="49" fontId="7" fillId="0" borderId="25" xfId="357" applyNumberFormat="1" applyFont="1" applyBorder="1" applyAlignment="1">
      <alignment horizontal="center" vertical="center" wrapText="1"/>
      <protection/>
    </xf>
    <xf numFmtId="49" fontId="4" fillId="0" borderId="0" xfId="357" applyNumberFormat="1" applyFont="1" applyAlignment="1">
      <alignment/>
      <protection/>
    </xf>
    <xf numFmtId="49" fontId="0" fillId="0" borderId="0" xfId="357" applyNumberFormat="1" applyFont="1" applyBorder="1" applyAlignment="1">
      <alignment horizontal="left"/>
      <protection/>
    </xf>
    <xf numFmtId="49" fontId="19" fillId="0" borderId="26" xfId="357" applyNumberFormat="1" applyFont="1" applyBorder="1" applyAlignment="1">
      <alignment horizontal="center" vertical="center" wrapText="1"/>
      <protection/>
    </xf>
    <xf numFmtId="49" fontId="19" fillId="0" borderId="25" xfId="357" applyNumberFormat="1" applyFont="1" applyBorder="1" applyAlignment="1">
      <alignment horizontal="center" vertical="center" wrapText="1"/>
      <protection/>
    </xf>
    <xf numFmtId="49" fontId="90" fillId="3" borderId="26" xfId="357" applyNumberFormat="1" applyFont="1" applyFill="1" applyBorder="1" applyAlignment="1">
      <alignment horizontal="center" vertical="center" wrapText="1"/>
      <protection/>
    </xf>
    <xf numFmtId="49" fontId="90" fillId="3" borderId="25" xfId="357" applyNumberFormat="1" applyFont="1" applyFill="1" applyBorder="1" applyAlignment="1">
      <alignment horizontal="center" vertical="center" wrapText="1"/>
      <protection/>
    </xf>
    <xf numFmtId="49" fontId="89" fillId="3" borderId="26" xfId="357" applyNumberFormat="1" applyFont="1" applyFill="1" applyBorder="1" applyAlignment="1">
      <alignment horizontal="center" vertical="center" wrapText="1"/>
      <protection/>
    </xf>
    <xf numFmtId="49" fontId="89" fillId="3" borderId="25" xfId="357" applyNumberFormat="1" applyFont="1" applyFill="1" applyBorder="1" applyAlignment="1">
      <alignment horizontal="center" vertical="center" wrapText="1"/>
      <protection/>
    </xf>
    <xf numFmtId="49" fontId="6" fillId="0" borderId="27" xfId="357" applyNumberFormat="1" applyFont="1" applyFill="1" applyBorder="1" applyAlignment="1">
      <alignment horizontal="center" vertical="center" wrapText="1"/>
      <protection/>
    </xf>
    <xf numFmtId="49" fontId="6" fillId="0" borderId="37" xfId="357" applyNumberFormat="1" applyFont="1" applyFill="1" applyBorder="1" applyAlignment="1">
      <alignment horizontal="center" vertical="center" wrapText="1"/>
      <protection/>
    </xf>
    <xf numFmtId="49" fontId="0" fillId="0" borderId="0" xfId="357" applyNumberFormat="1" applyFont="1" applyFill="1" applyAlignment="1">
      <alignment horizontal="left"/>
      <protection/>
    </xf>
    <xf numFmtId="49" fontId="28" fillId="0" borderId="0" xfId="357" applyNumberFormat="1" applyFont="1" applyAlignment="1">
      <alignment horizontal="center"/>
      <protection/>
    </xf>
    <xf numFmtId="49" fontId="13" fillId="0" borderId="22" xfId="357" applyNumberFormat="1" applyFont="1" applyFill="1" applyBorder="1" applyAlignment="1">
      <alignment horizontal="center" vertical="center"/>
      <protection/>
    </xf>
    <xf numFmtId="49" fontId="18" fillId="0" borderId="0" xfId="357" applyNumberFormat="1" applyFont="1" applyFill="1" applyBorder="1" applyAlignment="1">
      <alignment horizontal="left"/>
      <protection/>
    </xf>
    <xf numFmtId="49" fontId="6" fillId="0" borderId="40" xfId="357" applyNumberFormat="1" applyFont="1" applyFill="1" applyBorder="1" applyAlignment="1">
      <alignment horizontal="center" vertical="center" wrapText="1"/>
      <protection/>
    </xf>
    <xf numFmtId="49" fontId="6" fillId="0" borderId="35" xfId="357" applyNumberFormat="1" applyFont="1" applyFill="1" applyBorder="1" applyAlignment="1">
      <alignment horizontal="center" vertical="center" wrapText="1"/>
      <protection/>
    </xf>
    <xf numFmtId="49" fontId="6" fillId="0" borderId="36" xfId="357" applyNumberFormat="1" applyFont="1" applyFill="1" applyBorder="1" applyAlignment="1">
      <alignment horizontal="center" vertical="center" wrapText="1"/>
      <protection/>
    </xf>
    <xf numFmtId="49" fontId="6" fillId="0" borderId="24" xfId="357" applyNumberFormat="1" applyFont="1" applyFill="1" applyBorder="1" applyAlignment="1">
      <alignment horizontal="center" vertical="center" wrapText="1"/>
      <protection/>
    </xf>
    <xf numFmtId="49" fontId="6" fillId="0" borderId="39" xfId="357" applyNumberFormat="1" applyFont="1" applyFill="1" applyBorder="1" applyAlignment="1">
      <alignment horizontal="center" vertical="center" wrapText="1"/>
      <protection/>
    </xf>
    <xf numFmtId="49" fontId="19" fillId="0" borderId="26" xfId="357" applyNumberFormat="1" applyFont="1" applyFill="1" applyBorder="1" applyAlignment="1">
      <alignment horizontal="center" vertical="center"/>
      <protection/>
    </xf>
    <xf numFmtId="49" fontId="19" fillId="0" borderId="25" xfId="357" applyNumberFormat="1" applyFont="1" applyFill="1" applyBorder="1" applyAlignment="1">
      <alignment horizontal="center" vertical="center"/>
      <protection/>
    </xf>
    <xf numFmtId="49" fontId="89" fillId="3" borderId="26" xfId="357" applyNumberFormat="1" applyFont="1" applyFill="1" applyBorder="1" applyAlignment="1">
      <alignment horizontal="center" vertical="center"/>
      <protection/>
    </xf>
    <xf numFmtId="49" fontId="89" fillId="3" borderId="25" xfId="357" applyNumberFormat="1" applyFont="1" applyFill="1" applyBorder="1" applyAlignment="1">
      <alignment horizontal="center" vertical="center"/>
      <protection/>
    </xf>
    <xf numFmtId="49" fontId="90" fillId="3" borderId="26" xfId="357" applyNumberFormat="1" applyFont="1" applyFill="1" applyBorder="1" applyAlignment="1">
      <alignment horizontal="center" vertical="center"/>
      <protection/>
    </xf>
    <xf numFmtId="49" fontId="90" fillId="3" borderId="25" xfId="357" applyNumberFormat="1" applyFont="1" applyFill="1" applyBorder="1" applyAlignment="1">
      <alignment horizontal="center" vertical="center"/>
      <protection/>
    </xf>
    <xf numFmtId="49" fontId="6" fillId="47" borderId="26" xfId="357" applyNumberFormat="1" applyFont="1" applyFill="1" applyBorder="1" applyAlignment="1">
      <alignment horizontal="center" vertical="center"/>
      <protection/>
    </xf>
    <xf numFmtId="49" fontId="6" fillId="47" borderId="25" xfId="357" applyNumberFormat="1" applyFont="1" applyFill="1" applyBorder="1" applyAlignment="1">
      <alignment horizontal="center" vertical="center"/>
      <protection/>
    </xf>
    <xf numFmtId="0" fontId="82" fillId="0" borderId="40" xfId="357" applyFont="1" applyFill="1" applyBorder="1" applyAlignment="1">
      <alignment horizontal="center" vertical="center" wrapText="1"/>
      <protection/>
    </xf>
    <xf numFmtId="0" fontId="82" fillId="0" borderId="25" xfId="357" applyFont="1" applyFill="1" applyBorder="1" applyAlignment="1">
      <alignment horizontal="center" vertical="center" wrapText="1"/>
      <protection/>
    </xf>
    <xf numFmtId="0" fontId="25" fillId="0" borderId="0" xfId="357" applyFont="1" applyAlignment="1">
      <alignment horizontal="center"/>
      <protection/>
    </xf>
    <xf numFmtId="0" fontId="7" fillId="0" borderId="20" xfId="357" applyFont="1" applyFill="1" applyBorder="1" applyAlignment="1">
      <alignment horizontal="center" vertical="center" wrapText="1"/>
      <protection/>
    </xf>
    <xf numFmtId="0" fontId="28" fillId="47" borderId="0" xfId="357" applyFont="1" applyFill="1" applyBorder="1" applyAlignment="1">
      <alignment horizontal="center"/>
      <protection/>
    </xf>
    <xf numFmtId="49" fontId="7" fillId="0" borderId="35" xfId="357" applyNumberFormat="1" applyFont="1" applyFill="1" applyBorder="1" applyAlignment="1">
      <alignment horizontal="center" vertical="center"/>
      <protection/>
    </xf>
    <xf numFmtId="49" fontId="7" fillId="0" borderId="36" xfId="357" applyNumberFormat="1" applyFont="1" applyFill="1" applyBorder="1" applyAlignment="1">
      <alignment horizontal="center" vertical="center"/>
      <protection/>
    </xf>
    <xf numFmtId="49" fontId="7" fillId="0" borderId="24" xfId="357" applyNumberFormat="1" applyFont="1" applyFill="1" applyBorder="1" applyAlignment="1">
      <alignment horizontal="center" vertical="center"/>
      <protection/>
    </xf>
    <xf numFmtId="49" fontId="7" fillId="0" borderId="39" xfId="357" applyNumberFormat="1" applyFont="1" applyFill="1" applyBorder="1" applyAlignment="1">
      <alignment horizontal="center" vertical="center"/>
      <protection/>
    </xf>
    <xf numFmtId="49" fontId="7" fillId="0" borderId="27" xfId="357" applyNumberFormat="1" applyFont="1" applyFill="1" applyBorder="1" applyAlignment="1">
      <alignment horizontal="center" vertical="center"/>
      <protection/>
    </xf>
    <xf numFmtId="49" fontId="7" fillId="0" borderId="37" xfId="357" applyNumberFormat="1" applyFont="1" applyFill="1" applyBorder="1" applyAlignment="1">
      <alignment horizontal="center" vertical="center"/>
      <protection/>
    </xf>
    <xf numFmtId="0" fontId="18" fillId="0" borderId="0" xfId="357" applyFont="1" applyBorder="1" applyAlignment="1">
      <alignment horizontal="left"/>
      <protection/>
    </xf>
    <xf numFmtId="0" fontId="13" fillId="0" borderId="0" xfId="357" applyFont="1" applyAlignment="1">
      <alignment horizontal="center"/>
      <protection/>
    </xf>
    <xf numFmtId="49" fontId="31" fillId="0" borderId="0" xfId="357" applyNumberFormat="1" applyFont="1" applyBorder="1" applyAlignment="1">
      <alignment horizontal="justify" vertical="justify" wrapText="1"/>
      <protection/>
    </xf>
    <xf numFmtId="0" fontId="14" fillId="0" borderId="0" xfId="357" applyNumberFormat="1" applyFont="1" applyAlignment="1">
      <alignment horizontal="center"/>
      <protection/>
    </xf>
    <xf numFmtId="0" fontId="33" fillId="0" borderId="0" xfId="357" applyNumberFormat="1" applyFont="1" applyAlignment="1">
      <alignment horizontal="center"/>
      <protection/>
    </xf>
    <xf numFmtId="0" fontId="23" fillId="0" borderId="0" xfId="357" applyNumberFormat="1" applyFont="1" applyAlignment="1">
      <alignment horizontal="center"/>
      <protection/>
    </xf>
    <xf numFmtId="49" fontId="25" fillId="47" borderId="41" xfId="0" applyNumberFormat="1" applyFont="1" applyFill="1" applyBorder="1" applyAlignment="1">
      <alignment horizontal="center" vertical="center"/>
    </xf>
    <xf numFmtId="49" fontId="25" fillId="47" borderId="42" xfId="0" applyNumberFormat="1" applyFont="1" applyFill="1" applyBorder="1" applyAlignment="1">
      <alignment horizontal="center" vertical="center"/>
    </xf>
    <xf numFmtId="49" fontId="100" fillId="47" borderId="26" xfId="0" applyNumberFormat="1" applyFont="1" applyFill="1" applyBorder="1" applyAlignment="1">
      <alignment horizontal="left"/>
    </xf>
    <xf numFmtId="49" fontId="100" fillId="47" borderId="40" xfId="0" applyNumberFormat="1" applyFont="1" applyFill="1" applyBorder="1" applyAlignment="1">
      <alignment horizontal="left"/>
    </xf>
    <xf numFmtId="49" fontId="100" fillId="47" borderId="25" xfId="0" applyNumberFormat="1" applyFont="1" applyFill="1" applyBorder="1" applyAlignment="1">
      <alignment horizontal="left"/>
    </xf>
    <xf numFmtId="0" fontId="0" fillId="50"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49" fontId="4" fillId="47" borderId="0" xfId="0" applyNumberFormat="1" applyFont="1" applyFill="1" applyBorder="1" applyAlignment="1">
      <alignment horizontal="left" wrapText="1"/>
    </xf>
    <xf numFmtId="49" fontId="4" fillId="47" borderId="20" xfId="0" applyNumberFormat="1" applyFont="1" applyFill="1" applyBorder="1" applyAlignment="1">
      <alignment horizontal="center" vertical="center" wrapText="1"/>
    </xf>
    <xf numFmtId="49" fontId="4" fillId="47" borderId="0" xfId="0" applyNumberFormat="1" applyFont="1" applyFill="1" applyAlignment="1">
      <alignment horizontal="left"/>
    </xf>
    <xf numFmtId="0" fontId="4" fillId="47" borderId="0" xfId="0" applyNumberFormat="1" applyFont="1" applyFill="1" applyBorder="1" applyAlignment="1">
      <alignment horizontal="left" wrapText="1"/>
    </xf>
    <xf numFmtId="49" fontId="4" fillId="47" borderId="20" xfId="0" applyNumberFormat="1" applyFont="1" applyFill="1" applyBorder="1" applyAlignment="1" applyProtection="1">
      <alignment horizontal="center" vertical="center" wrapText="1"/>
      <protection/>
    </xf>
    <xf numFmtId="0" fontId="4" fillId="47" borderId="35" xfId="0" applyNumberFormat="1" applyFont="1" applyFill="1" applyBorder="1" applyAlignment="1">
      <alignment horizontal="center" vertical="center" wrapText="1"/>
    </xf>
    <xf numFmtId="0" fontId="4" fillId="47" borderId="36" xfId="0" applyNumberFormat="1" applyFont="1" applyFill="1" applyBorder="1" applyAlignment="1">
      <alignment horizontal="center" vertical="center" wrapText="1"/>
    </xf>
    <xf numFmtId="0" fontId="4" fillId="47" borderId="24" xfId="0" applyNumberFormat="1" applyFont="1" applyFill="1" applyBorder="1" applyAlignment="1">
      <alignment horizontal="center" vertical="center" wrapText="1"/>
    </xf>
    <xf numFmtId="0" fontId="4" fillId="47" borderId="39" xfId="0" applyNumberFormat="1" applyFont="1" applyFill="1" applyBorder="1" applyAlignment="1">
      <alignment horizontal="center" vertical="center" wrapText="1"/>
    </xf>
    <xf numFmtId="0" fontId="4" fillId="47" borderId="27" xfId="0" applyNumberFormat="1" applyFont="1" applyFill="1" applyBorder="1" applyAlignment="1">
      <alignment horizontal="center" vertical="center" wrapText="1"/>
    </xf>
    <xf numFmtId="0" fontId="4" fillId="47" borderId="37" xfId="0" applyNumberFormat="1" applyFont="1" applyFill="1" applyBorder="1" applyAlignment="1">
      <alignment horizontal="center" vertical="center" wrapText="1"/>
    </xf>
    <xf numFmtId="49" fontId="13" fillId="47" borderId="43" xfId="0" applyNumberFormat="1" applyFont="1" applyFill="1" applyBorder="1" applyAlignment="1" applyProtection="1">
      <alignment horizontal="center" vertical="center" wrapText="1"/>
      <protection/>
    </xf>
    <xf numFmtId="49" fontId="13" fillId="47" borderId="25" xfId="0" applyNumberFormat="1" applyFont="1" applyFill="1" applyBorder="1" applyAlignment="1" applyProtection="1">
      <alignment horizontal="center" vertical="center" wrapText="1"/>
      <protection/>
    </xf>
    <xf numFmtId="0" fontId="25" fillId="47" borderId="0" xfId="0" applyNumberFormat="1" applyFont="1" applyFill="1" applyBorder="1" applyAlignment="1">
      <alignment horizontal="center" wrapText="1"/>
    </xf>
    <xf numFmtId="49" fontId="0" fillId="49" borderId="26" xfId="0" applyNumberFormat="1" applyFont="1" applyFill="1" applyBorder="1" applyAlignment="1" applyProtection="1">
      <alignment horizontal="center" vertical="center" wrapText="1"/>
      <protection/>
    </xf>
    <xf numFmtId="49" fontId="0" fillId="49" borderId="25" xfId="0" applyNumberFormat="1" applyFont="1" applyFill="1" applyBorder="1" applyAlignment="1" applyProtection="1">
      <alignment horizontal="center" vertical="center" wrapText="1"/>
      <protection/>
    </xf>
    <xf numFmtId="49" fontId="15" fillId="47" borderId="0" xfId="0" applyNumberFormat="1" applyFont="1" applyFill="1" applyAlignment="1">
      <alignment horizontal="center"/>
    </xf>
    <xf numFmtId="49" fontId="15" fillId="47" borderId="0" xfId="0" applyNumberFormat="1" applyFont="1" applyFill="1" applyAlignment="1">
      <alignment horizontal="center" wrapText="1"/>
    </xf>
    <xf numFmtId="0" fontId="23" fillId="47" borderId="0" xfId="0" applyNumberFormat="1" applyFont="1" applyFill="1" applyAlignment="1">
      <alignment horizontal="center"/>
    </xf>
    <xf numFmtId="1" fontId="4" fillId="47" borderId="20" xfId="0" applyNumberFormat="1" applyFont="1" applyFill="1" applyBorder="1" applyAlignment="1">
      <alignment horizontal="center" vertical="center"/>
    </xf>
    <xf numFmtId="0" fontId="25" fillId="47" borderId="0" xfId="0" applyNumberFormat="1" applyFont="1" applyFill="1" applyBorder="1" applyAlignment="1">
      <alignment horizontal="center" vertical="center"/>
    </xf>
    <xf numFmtId="49" fontId="4" fillId="47" borderId="26" xfId="0" applyNumberFormat="1" applyFont="1" applyFill="1" applyBorder="1" applyAlignment="1" applyProtection="1">
      <alignment horizontal="center" vertical="center" wrapText="1"/>
      <protection/>
    </xf>
    <xf numFmtId="210" fontId="28" fillId="47" borderId="19" xfId="0" applyNumberFormat="1" applyFont="1" applyFill="1" applyBorder="1" applyAlignment="1" applyProtection="1">
      <alignment horizontal="center" vertical="center"/>
      <protection/>
    </xf>
    <xf numFmtId="0" fontId="25" fillId="0" borderId="0" xfId="0" applyNumberFormat="1" applyFont="1" applyFill="1" applyAlignment="1">
      <alignment horizontal="center"/>
    </xf>
    <xf numFmtId="0" fontId="28" fillId="0" borderId="0" xfId="0" applyNumberFormat="1" applyFont="1" applyFill="1" applyAlignment="1">
      <alignment horizontal="center"/>
    </xf>
    <xf numFmtId="0" fontId="28" fillId="0" borderId="0" xfId="0" applyNumberFormat="1" applyFont="1" applyFill="1" applyAlignment="1">
      <alignment horizontal="left"/>
    </xf>
    <xf numFmtId="0" fontId="28" fillId="0" borderId="0" xfId="0" applyNumberFormat="1" applyFont="1" applyFill="1" applyAlignment="1">
      <alignment horizontal="center" wrapText="1"/>
    </xf>
    <xf numFmtId="0" fontId="8" fillId="47" borderId="44" xfId="0" applyNumberFormat="1" applyFont="1" applyFill="1" applyBorder="1" applyAlignment="1">
      <alignment horizontal="center" vertical="center" wrapText="1"/>
    </xf>
    <xf numFmtId="0" fontId="8" fillId="47" borderId="45" xfId="0" applyNumberFormat="1" applyFont="1" applyFill="1" applyBorder="1" applyAlignment="1">
      <alignment horizontal="center" vertical="center" wrapText="1"/>
    </xf>
    <xf numFmtId="0" fontId="8" fillId="47" borderId="46" xfId="0" applyNumberFormat="1" applyFont="1" applyFill="1" applyBorder="1" applyAlignment="1">
      <alignment horizontal="center" vertical="center" wrapText="1"/>
    </xf>
    <xf numFmtId="0" fontId="8" fillId="47" borderId="20" xfId="0" applyNumberFormat="1" applyFont="1" applyFill="1" applyBorder="1" applyAlignment="1">
      <alignment horizontal="center" vertical="center" wrapText="1"/>
    </xf>
    <xf numFmtId="0" fontId="25" fillId="47" borderId="0" xfId="0" applyNumberFormat="1" applyFont="1" applyFill="1" applyAlignment="1">
      <alignment horizontal="center"/>
    </xf>
    <xf numFmtId="49" fontId="8" fillId="49" borderId="26" xfId="0" applyNumberFormat="1" applyFont="1" applyFill="1" applyBorder="1" applyAlignment="1" applyProtection="1">
      <alignment horizontal="center" vertical="center" wrapText="1"/>
      <protection/>
    </xf>
    <xf numFmtId="49" fontId="8" fillId="49" borderId="25" xfId="0" applyNumberFormat="1" applyFont="1" applyFill="1" applyBorder="1" applyAlignment="1" applyProtection="1">
      <alignment horizontal="center" vertical="center" wrapText="1"/>
      <protection/>
    </xf>
    <xf numFmtId="49" fontId="28" fillId="47" borderId="0" xfId="0" applyNumberFormat="1" applyFont="1" applyFill="1" applyAlignment="1">
      <alignment horizontal="left"/>
    </xf>
    <xf numFmtId="49" fontId="28" fillId="47" borderId="0" xfId="0" applyNumberFormat="1" applyFont="1" applyFill="1" applyBorder="1" applyAlignment="1">
      <alignment horizontal="left"/>
    </xf>
    <xf numFmtId="0" fontId="72" fillId="47" borderId="0" xfId="0" applyNumberFormat="1" applyFont="1" applyFill="1" applyBorder="1" applyAlignment="1">
      <alignment horizontal="left" wrapText="1"/>
    </xf>
    <xf numFmtId="210" fontId="8" fillId="47" borderId="45" xfId="0" applyNumberFormat="1" applyFont="1" applyFill="1" applyBorder="1" applyAlignment="1">
      <alignment horizontal="center" vertical="center"/>
    </xf>
    <xf numFmtId="210" fontId="8" fillId="47" borderId="20" xfId="0" applyNumberFormat="1" applyFont="1" applyFill="1" applyBorder="1" applyAlignment="1" applyProtection="1">
      <alignment horizontal="center" vertical="center" wrapText="1"/>
      <protection/>
    </xf>
    <xf numFmtId="210" fontId="8" fillId="47" borderId="45" xfId="0" applyNumberFormat="1" applyFont="1" applyFill="1" applyBorder="1" applyAlignment="1" applyProtection="1">
      <alignment horizontal="center" vertical="center" wrapText="1"/>
      <protection/>
    </xf>
    <xf numFmtId="210" fontId="8" fillId="47" borderId="45" xfId="0" applyNumberFormat="1" applyFont="1" applyFill="1" applyBorder="1" applyAlignment="1">
      <alignment horizontal="center" vertical="center" wrapText="1"/>
    </xf>
    <xf numFmtId="210" fontId="8" fillId="47" borderId="20" xfId="0" applyNumberFormat="1" applyFont="1" applyFill="1" applyBorder="1" applyAlignment="1">
      <alignment horizontal="center" vertical="center" wrapText="1"/>
    </xf>
    <xf numFmtId="49" fontId="30" fillId="47" borderId="46" xfId="0" applyNumberFormat="1" applyFont="1" applyFill="1" applyBorder="1" applyAlignment="1" applyProtection="1">
      <alignment horizontal="center" vertical="center" wrapText="1"/>
      <protection/>
    </xf>
    <xf numFmtId="49" fontId="30" fillId="47" borderId="20" xfId="0" applyNumberFormat="1" applyFont="1" applyFill="1" applyBorder="1" applyAlignment="1" applyProtection="1">
      <alignment horizontal="center" vertical="center" wrapText="1"/>
      <protection/>
    </xf>
    <xf numFmtId="49" fontId="0" fillId="47" borderId="47" xfId="0" applyNumberFormat="1" applyFont="1" applyFill="1" applyBorder="1" applyAlignment="1">
      <alignment horizontal="left"/>
    </xf>
    <xf numFmtId="210" fontId="0" fillId="47" borderId="0" xfId="0" applyNumberFormat="1" applyFont="1" applyFill="1" applyAlignment="1">
      <alignment horizontal="center"/>
    </xf>
    <xf numFmtId="210" fontId="0" fillId="47" borderId="0" xfId="0" applyNumberFormat="1" applyFont="1" applyFill="1" applyAlignment="1">
      <alignment horizontal="center" wrapText="1"/>
    </xf>
    <xf numFmtId="210" fontId="0" fillId="47" borderId="0" xfId="0" applyNumberFormat="1" applyFill="1" applyAlignment="1">
      <alignment horizontal="center"/>
    </xf>
    <xf numFmtId="4" fontId="8" fillId="47" borderId="48" xfId="0" applyNumberFormat="1" applyFont="1" applyFill="1" applyBorder="1" applyAlignment="1" applyProtection="1">
      <alignment horizontal="center" vertical="center" wrapText="1"/>
      <protection/>
    </xf>
    <xf numFmtId="4" fontId="8" fillId="47" borderId="26" xfId="0" applyNumberFormat="1" applyFont="1" applyFill="1" applyBorder="1" applyAlignment="1" applyProtection="1">
      <alignment horizontal="center" vertical="center" wrapText="1"/>
      <protection/>
    </xf>
    <xf numFmtId="49" fontId="0" fillId="47" borderId="0" xfId="0" applyNumberFormat="1" applyFont="1" applyFill="1" applyAlignment="1">
      <alignment horizontal="left"/>
    </xf>
    <xf numFmtId="0" fontId="0" fillId="47" borderId="0" xfId="0" applyNumberFormat="1" applyFont="1" applyFill="1" applyBorder="1" applyAlignment="1">
      <alignment horizontal="left" wrapText="1"/>
    </xf>
    <xf numFmtId="49" fontId="0" fillId="47" borderId="0" xfId="0" applyNumberFormat="1" applyFont="1" applyFill="1" applyBorder="1" applyAlignment="1">
      <alignment horizontal="left" wrapText="1"/>
    </xf>
    <xf numFmtId="210" fontId="25" fillId="47" borderId="0" xfId="0" applyNumberFormat="1" applyFont="1" applyFill="1" applyAlignment="1">
      <alignment horizontal="center"/>
    </xf>
  </cellXfs>
  <cellStyles count="380">
    <cellStyle name="Normal" xfId="0"/>
    <cellStyle name="20% - Accent1" xfId="15"/>
    <cellStyle name="20% - Accent1 2" xfId="16"/>
    <cellStyle name="20% - Accent1 2 2" xfId="17"/>
    <cellStyle name="20% - Accent1 3" xfId="18"/>
    <cellStyle name="20% - Accent1 3 2" xfId="19"/>
    <cellStyle name="20% - Accent2" xfId="20"/>
    <cellStyle name="20% - Accent2 2" xfId="21"/>
    <cellStyle name="20% - Accent2 2 2" xfId="22"/>
    <cellStyle name="20% - Accent2 3" xfId="23"/>
    <cellStyle name="20% - Accent2 3 2" xfId="24"/>
    <cellStyle name="20% - Accent3" xfId="25"/>
    <cellStyle name="20% - Accent3 2" xfId="26"/>
    <cellStyle name="20% - Accent3 2 2" xfId="27"/>
    <cellStyle name="20% - Accent3 3" xfId="28"/>
    <cellStyle name="20% - Accent3 3 2" xfId="29"/>
    <cellStyle name="20% - Accent4" xfId="30"/>
    <cellStyle name="20% - Accent4 2" xfId="31"/>
    <cellStyle name="20% - Accent4 2 2" xfId="32"/>
    <cellStyle name="20% - Accent4 3" xfId="33"/>
    <cellStyle name="20% - Accent4 3 2" xfId="34"/>
    <cellStyle name="20% - Accent5" xfId="35"/>
    <cellStyle name="20% - Accent5 2" xfId="36"/>
    <cellStyle name="20% - Accent5 2 2" xfId="37"/>
    <cellStyle name="20% - Accent5 3" xfId="38"/>
    <cellStyle name="20% - Accent5 3 2" xfId="39"/>
    <cellStyle name="20% - Accent6" xfId="40"/>
    <cellStyle name="20% - Accent6 2" xfId="41"/>
    <cellStyle name="20% - Accent6 2 2" xfId="42"/>
    <cellStyle name="20% - Accent6 3" xfId="43"/>
    <cellStyle name="20% - Accent6 3 2" xfId="44"/>
    <cellStyle name="40% - Accent1" xfId="45"/>
    <cellStyle name="40% - Accent1 2" xfId="46"/>
    <cellStyle name="40% - Accent1 2 2" xfId="47"/>
    <cellStyle name="40% - Accent1 3" xfId="48"/>
    <cellStyle name="40% - Accent1 3 2" xfId="49"/>
    <cellStyle name="40% - Accent2" xfId="50"/>
    <cellStyle name="40% - Accent2 2" xfId="51"/>
    <cellStyle name="40% - Accent2 2 2" xfId="52"/>
    <cellStyle name="40% - Accent2 3" xfId="53"/>
    <cellStyle name="40% - Accent2 3 2" xfId="54"/>
    <cellStyle name="40% - Accent3" xfId="55"/>
    <cellStyle name="40% - Accent3 2" xfId="56"/>
    <cellStyle name="40% - Accent3 2 2" xfId="57"/>
    <cellStyle name="40% - Accent3 3" xfId="58"/>
    <cellStyle name="40% - Accent3 3 2" xfId="59"/>
    <cellStyle name="40% - Accent4" xfId="60"/>
    <cellStyle name="40% - Accent4 2" xfId="61"/>
    <cellStyle name="40% - Accent4 2 2" xfId="62"/>
    <cellStyle name="40% - Accent4 3" xfId="63"/>
    <cellStyle name="40% - Accent4 3 2" xfId="64"/>
    <cellStyle name="40% - Accent5" xfId="65"/>
    <cellStyle name="40% - Accent5 2" xfId="66"/>
    <cellStyle name="40% - Accent5 2 2" xfId="67"/>
    <cellStyle name="40% - Accent5 3" xfId="68"/>
    <cellStyle name="40% - Accent5 3 2" xfId="69"/>
    <cellStyle name="40% - Accent6" xfId="70"/>
    <cellStyle name="40% - Accent6 2" xfId="71"/>
    <cellStyle name="40% - Accent6 2 2" xfId="72"/>
    <cellStyle name="40% - Accent6 3" xfId="73"/>
    <cellStyle name="40% - Accent6 3 2" xfId="74"/>
    <cellStyle name="60% - Accent1" xfId="75"/>
    <cellStyle name="60% - Accent1 2" xfId="76"/>
    <cellStyle name="60% - Accent1 2 2" xfId="77"/>
    <cellStyle name="60% - Accent1 3" xfId="78"/>
    <cellStyle name="60% - Accent1 3 2" xfId="79"/>
    <cellStyle name="60% - Accent2" xfId="80"/>
    <cellStyle name="60% - Accent2 2" xfId="81"/>
    <cellStyle name="60% - Accent2 2 2" xfId="82"/>
    <cellStyle name="60% - Accent2 3" xfId="83"/>
    <cellStyle name="60% - Accent2 3 2" xfId="84"/>
    <cellStyle name="60% - Accent3" xfId="85"/>
    <cellStyle name="60% - Accent3 2" xfId="86"/>
    <cellStyle name="60% - Accent3 2 2" xfId="87"/>
    <cellStyle name="60% - Accent3 3" xfId="88"/>
    <cellStyle name="60% - Accent3 3 2" xfId="89"/>
    <cellStyle name="60% - Accent4" xfId="90"/>
    <cellStyle name="60% - Accent4 2" xfId="91"/>
    <cellStyle name="60% - Accent4 2 2" xfId="92"/>
    <cellStyle name="60% - Accent4 3" xfId="93"/>
    <cellStyle name="60% - Accent4 3 2" xfId="94"/>
    <cellStyle name="60% - Accent5" xfId="95"/>
    <cellStyle name="60% - Accent5 2" xfId="96"/>
    <cellStyle name="60% - Accent5 2 2" xfId="97"/>
    <cellStyle name="60% - Accent5 3" xfId="98"/>
    <cellStyle name="60% - Accent5 3 2" xfId="99"/>
    <cellStyle name="60% - Accent6" xfId="100"/>
    <cellStyle name="60% - Accent6 2" xfId="101"/>
    <cellStyle name="60% - Accent6 2 2" xfId="102"/>
    <cellStyle name="60% - Accent6 3" xfId="103"/>
    <cellStyle name="60% - Accent6 3 2" xfId="104"/>
    <cellStyle name="Accent1" xfId="105"/>
    <cellStyle name="Accent1 2" xfId="106"/>
    <cellStyle name="Accent1 2 2" xfId="107"/>
    <cellStyle name="Accent1 3" xfId="108"/>
    <cellStyle name="Accent1 3 2" xfId="109"/>
    <cellStyle name="Accent2" xfId="110"/>
    <cellStyle name="Accent2 2" xfId="111"/>
    <cellStyle name="Accent2 2 2" xfId="112"/>
    <cellStyle name="Accent2 3" xfId="113"/>
    <cellStyle name="Accent2 3 2" xfId="114"/>
    <cellStyle name="Accent3" xfId="115"/>
    <cellStyle name="Accent3 2" xfId="116"/>
    <cellStyle name="Accent3 2 2" xfId="117"/>
    <cellStyle name="Accent3 3" xfId="118"/>
    <cellStyle name="Accent3 3 2" xfId="119"/>
    <cellStyle name="Accent4" xfId="120"/>
    <cellStyle name="Accent4 2" xfId="121"/>
    <cellStyle name="Accent4 2 2" xfId="122"/>
    <cellStyle name="Accent4 3" xfId="123"/>
    <cellStyle name="Accent4 3 2" xfId="124"/>
    <cellStyle name="Accent5" xfId="125"/>
    <cellStyle name="Accent5 2" xfId="126"/>
    <cellStyle name="Accent5 2 2" xfId="127"/>
    <cellStyle name="Accent5 3" xfId="128"/>
    <cellStyle name="Accent5 3 2" xfId="129"/>
    <cellStyle name="Accent6" xfId="130"/>
    <cellStyle name="Accent6 2" xfId="131"/>
    <cellStyle name="Accent6 2 2" xfId="132"/>
    <cellStyle name="Accent6 3" xfId="133"/>
    <cellStyle name="Accent6 3 2" xfId="134"/>
    <cellStyle name="Bad" xfId="135"/>
    <cellStyle name="Bad 2" xfId="136"/>
    <cellStyle name="Bad 2 2" xfId="137"/>
    <cellStyle name="Bad 3" xfId="138"/>
    <cellStyle name="Bad 3 2" xfId="139"/>
    <cellStyle name="Calculation" xfId="140"/>
    <cellStyle name="Calculation 2" xfId="141"/>
    <cellStyle name="Calculation 2 2" xfId="142"/>
    <cellStyle name="Calculation 3" xfId="143"/>
    <cellStyle name="Calculation 3 2" xfId="144"/>
    <cellStyle name="Comma" xfId="145"/>
    <cellStyle name="Comma [0]" xfId="146"/>
    <cellStyle name="Comma 2" xfId="147"/>
    <cellStyle name="Comma 2 2" xfId="148"/>
    <cellStyle name="Comma 2 3" xfId="149"/>
    <cellStyle name="Comma 2 4" xfId="150"/>
    <cellStyle name="Comma 3" xfId="151"/>
    <cellStyle name="Currency" xfId="152"/>
    <cellStyle name="Currency [0]" xfId="153"/>
    <cellStyle name="Check Cell" xfId="154"/>
    <cellStyle name="Check Cell 2" xfId="155"/>
    <cellStyle name="Check Cell 2 2" xfId="156"/>
    <cellStyle name="Check Cell 3" xfId="157"/>
    <cellStyle name="Check Cell 3 2" xfId="158"/>
    <cellStyle name="Explanatory Text" xfId="159"/>
    <cellStyle name="Explanatory Text 2" xfId="160"/>
    <cellStyle name="Explanatory Text 3" xfId="161"/>
    <cellStyle name="Followed Hyperlink" xfId="162"/>
    <cellStyle name="Good" xfId="163"/>
    <cellStyle name="Good 2" xfId="164"/>
    <cellStyle name="Good 2 2" xfId="165"/>
    <cellStyle name="Good 3" xfId="166"/>
    <cellStyle name="Good 3 2" xfId="167"/>
    <cellStyle name="Heading 1" xfId="168"/>
    <cellStyle name="Heading 1 2" xfId="169"/>
    <cellStyle name="Heading 1 3" xfId="170"/>
    <cellStyle name="Heading 2" xfId="171"/>
    <cellStyle name="Heading 2 2" xfId="172"/>
    <cellStyle name="Heading 2 3" xfId="173"/>
    <cellStyle name="Heading 3" xfId="174"/>
    <cellStyle name="Heading 3 2" xfId="175"/>
    <cellStyle name="Heading 3 3" xfId="176"/>
    <cellStyle name="Heading 4" xfId="177"/>
    <cellStyle name="Heading 4 2" xfId="178"/>
    <cellStyle name="Heading 4 3" xfId="179"/>
    <cellStyle name="Hyperlink" xfId="180"/>
    <cellStyle name="Input" xfId="181"/>
    <cellStyle name="Input 2" xfId="182"/>
    <cellStyle name="Input 2 2" xfId="183"/>
    <cellStyle name="Input 3" xfId="184"/>
    <cellStyle name="Input 3 2" xfId="185"/>
    <cellStyle name="Linked Cell" xfId="186"/>
    <cellStyle name="Linked Cell 2" xfId="187"/>
    <cellStyle name="Linked Cell 3" xfId="188"/>
    <cellStyle name="Neutral" xfId="189"/>
    <cellStyle name="Neutral 2" xfId="190"/>
    <cellStyle name="Neutral 2 2" xfId="191"/>
    <cellStyle name="Neutral 3" xfId="192"/>
    <cellStyle name="Neutral 3 2" xfId="193"/>
    <cellStyle name="Normal 10" xfId="194"/>
    <cellStyle name="Normal 10 10" xfId="195"/>
    <cellStyle name="Normal 10 2" xfId="196"/>
    <cellStyle name="Normal 10 3" xfId="197"/>
    <cellStyle name="Normal 10 4" xfId="198"/>
    <cellStyle name="Normal 10 5" xfId="199"/>
    <cellStyle name="Normal 10 6" xfId="200"/>
    <cellStyle name="Normal 10 7" xfId="201"/>
    <cellStyle name="Normal 10 8" xfId="202"/>
    <cellStyle name="Normal 10 9" xfId="203"/>
    <cellStyle name="Normal 11" xfId="204"/>
    <cellStyle name="Normal 11 2" xfId="205"/>
    <cellStyle name="Normal 11 3" xfId="206"/>
    <cellStyle name="Normal 11 4" xfId="207"/>
    <cellStyle name="Normal 12" xfId="208"/>
    <cellStyle name="Normal 12 2" xfId="209"/>
    <cellStyle name="Normal 13" xfId="210"/>
    <cellStyle name="Normal 13 2" xfId="211"/>
    <cellStyle name="Normal 13 3" xfId="212"/>
    <cellStyle name="Normal 13 4" xfId="213"/>
    <cellStyle name="Normal 13 5" xfId="214"/>
    <cellStyle name="Normal 14" xfId="215"/>
    <cellStyle name="Normal 14 2" xfId="216"/>
    <cellStyle name="Normal 14 3" xfId="217"/>
    <cellStyle name="Normal 15" xfId="218"/>
    <cellStyle name="Normal 16" xfId="219"/>
    <cellStyle name="Normal 17" xfId="220"/>
    <cellStyle name="Normal 18" xfId="221"/>
    <cellStyle name="Normal 19" xfId="222"/>
    <cellStyle name="Normal 2" xfId="223"/>
    <cellStyle name="Normal 2 2" xfId="224"/>
    <cellStyle name="Normal 2 2 2" xfId="225"/>
    <cellStyle name="Normal 2 2 2 2" xfId="226"/>
    <cellStyle name="Normal 2 2 2_01" xfId="227"/>
    <cellStyle name="Normal 2 2 3" xfId="228"/>
    <cellStyle name="Normal 2 2_06" xfId="229"/>
    <cellStyle name="Normal 2 3" xfId="230"/>
    <cellStyle name="Normal 2_01" xfId="231"/>
    <cellStyle name="Normal 2_06" xfId="232"/>
    <cellStyle name="Normal 20" xfId="233"/>
    <cellStyle name="Normal 21" xfId="234"/>
    <cellStyle name="Normal 22" xfId="235"/>
    <cellStyle name="Normal 23" xfId="236"/>
    <cellStyle name="Normal 24" xfId="237"/>
    <cellStyle name="Normal 25" xfId="238"/>
    <cellStyle name="Normal 26" xfId="239"/>
    <cellStyle name="Normal 27" xfId="240"/>
    <cellStyle name="Normal 28" xfId="241"/>
    <cellStyle name="Normal 29" xfId="242"/>
    <cellStyle name="Normal 3" xfId="243"/>
    <cellStyle name="Normal 3 2" xfId="244"/>
    <cellStyle name="Normal 3_01" xfId="245"/>
    <cellStyle name="Normal 30" xfId="246"/>
    <cellStyle name="Normal 31" xfId="247"/>
    <cellStyle name="Normal 32" xfId="248"/>
    <cellStyle name="Normal 33" xfId="249"/>
    <cellStyle name="Normal 34" xfId="250"/>
    <cellStyle name="Normal 35" xfId="251"/>
    <cellStyle name="Normal 36" xfId="252"/>
    <cellStyle name="Normal 37" xfId="253"/>
    <cellStyle name="Normal 38" xfId="254"/>
    <cellStyle name="Normal 39" xfId="255"/>
    <cellStyle name="Normal 4" xfId="256"/>
    <cellStyle name="Normal 4 2" xfId="257"/>
    <cellStyle name="Normal 4_01" xfId="258"/>
    <cellStyle name="Normal 40" xfId="259"/>
    <cellStyle name="Normal 41" xfId="260"/>
    <cellStyle name="Normal 42" xfId="261"/>
    <cellStyle name="Normal 43" xfId="262"/>
    <cellStyle name="Normal 44" xfId="263"/>
    <cellStyle name="Normal 45" xfId="264"/>
    <cellStyle name="Normal 46" xfId="265"/>
    <cellStyle name="Normal 47" xfId="266"/>
    <cellStyle name="Normal 48" xfId="267"/>
    <cellStyle name="Normal 49" xfId="268"/>
    <cellStyle name="Normal 5" xfId="269"/>
    <cellStyle name="Normal 5 10" xfId="270"/>
    <cellStyle name="Normal 5 11" xfId="271"/>
    <cellStyle name="Normal 5 12" xfId="272"/>
    <cellStyle name="Normal 5 13" xfId="273"/>
    <cellStyle name="Normal 5 14" xfId="274"/>
    <cellStyle name="Normal 5 15" xfId="275"/>
    <cellStyle name="Normal 5 16" xfId="276"/>
    <cellStyle name="Normal 5 17" xfId="277"/>
    <cellStyle name="Normal 5 18" xfId="278"/>
    <cellStyle name="Normal 5 19" xfId="279"/>
    <cellStyle name="Normal 5 2" xfId="280"/>
    <cellStyle name="Normal 5 20" xfId="281"/>
    <cellStyle name="Normal 5 21" xfId="282"/>
    <cellStyle name="Normal 5 3" xfId="283"/>
    <cellStyle name="Normal 5 4" xfId="284"/>
    <cellStyle name="Normal 5 5" xfId="285"/>
    <cellStyle name="Normal 5 6" xfId="286"/>
    <cellStyle name="Normal 5 7" xfId="287"/>
    <cellStyle name="Normal 5 8" xfId="288"/>
    <cellStyle name="Normal 5 9" xfId="289"/>
    <cellStyle name="Normal 50" xfId="290"/>
    <cellStyle name="Normal 6" xfId="291"/>
    <cellStyle name="Normal 6 10" xfId="292"/>
    <cellStyle name="Normal 6 11" xfId="293"/>
    <cellStyle name="Normal 6 12" xfId="294"/>
    <cellStyle name="Normal 6 13" xfId="295"/>
    <cellStyle name="Normal 6 14" xfId="296"/>
    <cellStyle name="Normal 6 15" xfId="297"/>
    <cellStyle name="Normal 6 16" xfId="298"/>
    <cellStyle name="Normal 6 17" xfId="299"/>
    <cellStyle name="Normal 6 18" xfId="300"/>
    <cellStyle name="Normal 6 2" xfId="301"/>
    <cellStyle name="Normal 6 3" xfId="302"/>
    <cellStyle name="Normal 6 4" xfId="303"/>
    <cellStyle name="Normal 6 5" xfId="304"/>
    <cellStyle name="Normal 6 6" xfId="305"/>
    <cellStyle name="Normal 6 7" xfId="306"/>
    <cellStyle name="Normal 6 8" xfId="307"/>
    <cellStyle name="Normal 6 9" xfId="308"/>
    <cellStyle name="Normal 6_06" xfId="309"/>
    <cellStyle name="Normal 7" xfId="310"/>
    <cellStyle name="Normal 7 10" xfId="311"/>
    <cellStyle name="Normal 7 11" xfId="312"/>
    <cellStyle name="Normal 7 12" xfId="313"/>
    <cellStyle name="Normal 7 13" xfId="314"/>
    <cellStyle name="Normal 7 14" xfId="315"/>
    <cellStyle name="Normal 7 15" xfId="316"/>
    <cellStyle name="Normal 7 16" xfId="317"/>
    <cellStyle name="Normal 7 2" xfId="318"/>
    <cellStyle name="Normal 7 3" xfId="319"/>
    <cellStyle name="Normal 7 4" xfId="320"/>
    <cellStyle name="Normal 7 5" xfId="321"/>
    <cellStyle name="Normal 7 6" xfId="322"/>
    <cellStyle name="Normal 7 7" xfId="323"/>
    <cellStyle name="Normal 7 8" xfId="324"/>
    <cellStyle name="Normal 7 9" xfId="325"/>
    <cellStyle name="Normal 8" xfId="326"/>
    <cellStyle name="Normal 8 10" xfId="327"/>
    <cellStyle name="Normal 8 11" xfId="328"/>
    <cellStyle name="Normal 8 12" xfId="329"/>
    <cellStyle name="Normal 8 13" xfId="330"/>
    <cellStyle name="Normal 8 14" xfId="331"/>
    <cellStyle name="Normal 8 2" xfId="332"/>
    <cellStyle name="Normal 8 3" xfId="333"/>
    <cellStyle name="Normal 8 4" xfId="334"/>
    <cellStyle name="Normal 8 5" xfId="335"/>
    <cellStyle name="Normal 8 6" xfId="336"/>
    <cellStyle name="Normal 8 7" xfId="337"/>
    <cellStyle name="Normal 8 8" xfId="338"/>
    <cellStyle name="Normal 8 9" xfId="339"/>
    <cellStyle name="Normal 9" xfId="340"/>
    <cellStyle name="Normal 9 10" xfId="341"/>
    <cellStyle name="Normal 9 11" xfId="342"/>
    <cellStyle name="Normal 9 12" xfId="343"/>
    <cellStyle name="Normal 9 2" xfId="344"/>
    <cellStyle name="Normal 9 3" xfId="345"/>
    <cellStyle name="Normal 9 4" xfId="346"/>
    <cellStyle name="Normal 9 5" xfId="347"/>
    <cellStyle name="Normal 9 6" xfId="348"/>
    <cellStyle name="Normal 9 7" xfId="349"/>
    <cellStyle name="Normal 9 8" xfId="350"/>
    <cellStyle name="Normal 9 9" xfId="351"/>
    <cellStyle name="Normal_1. (Goc) THONG KE TT01 Toàn tỉnh Hoa Binh 6 tháng 2013" xfId="352"/>
    <cellStyle name="Normal_1. (Goc) THONG KE TT01 Toàn tỉnh Hoa Binh 6 tháng 2013 2" xfId="353"/>
    <cellStyle name="Normal_1. (Goc) THONG KE TT01 Toàn tỉnh Hoa Binh 6 tháng 2013_07" xfId="354"/>
    <cellStyle name="Normal_19 bieu m nhapcong thuc da sao 11 don vi " xfId="355"/>
    <cellStyle name="Normal_Bieu 8 - Bieu 19 toan tinh" xfId="356"/>
    <cellStyle name="Normal_Bieu mau TK tu 11 den 19 (ban phat hanh)" xfId="357"/>
    <cellStyle name="Normal_Sheet1" xfId="358"/>
    <cellStyle name="Normal_Sheet2" xfId="359"/>
    <cellStyle name="Normal_Sheet3" xfId="360"/>
    <cellStyle name="Note" xfId="361"/>
    <cellStyle name="Note 2" xfId="362"/>
    <cellStyle name="Note 2 2" xfId="363"/>
    <cellStyle name="Note 3" xfId="364"/>
    <cellStyle name="Note 3 2" xfId="365"/>
    <cellStyle name="Output" xfId="366"/>
    <cellStyle name="Output 2" xfId="367"/>
    <cellStyle name="Output 2 2" xfId="368"/>
    <cellStyle name="Output 3" xfId="369"/>
    <cellStyle name="Output 3 2" xfId="370"/>
    <cellStyle name="Percent" xfId="371"/>
    <cellStyle name="Percent 10" xfId="372"/>
    <cellStyle name="Percent 11" xfId="373"/>
    <cellStyle name="Percent 13" xfId="374"/>
    <cellStyle name="Percent 14" xfId="375"/>
    <cellStyle name="Percent 2" xfId="376"/>
    <cellStyle name="Percent 2 2" xfId="377"/>
    <cellStyle name="Percent 2 2 2" xfId="378"/>
    <cellStyle name="Percent 2 2 2 2" xfId="379"/>
    <cellStyle name="Percent 2 2 3" xfId="380"/>
    <cellStyle name="Percent 2 3" xfId="381"/>
    <cellStyle name="Percent 3" xfId="382"/>
    <cellStyle name="Percent 3 2" xfId="383"/>
    <cellStyle name="Percent 4" xfId="384"/>
    <cellStyle name="Title" xfId="385"/>
    <cellStyle name="Title 2" xfId="386"/>
    <cellStyle name="Title 3" xfId="387"/>
    <cellStyle name="Total" xfId="388"/>
    <cellStyle name="Total 2" xfId="389"/>
    <cellStyle name="Total 3" xfId="390"/>
    <cellStyle name="Warning Text" xfId="391"/>
    <cellStyle name="Warning Text 2" xfId="392"/>
    <cellStyle name="Warning Text 3" xfId="393"/>
  </cellStyles>
  <dxfs count="4">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431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9431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3" name="Text Box 1"/>
        <xdr:cNvSpPr txBox="1">
          <a:spLocks noChangeArrowheads="1"/>
        </xdr:cNvSpPr>
      </xdr:nvSpPr>
      <xdr:spPr>
        <a:xfrm>
          <a:off x="19431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4" name="Text Box 1"/>
        <xdr:cNvSpPr txBox="1">
          <a:spLocks noChangeArrowheads="1"/>
        </xdr:cNvSpPr>
      </xdr:nvSpPr>
      <xdr:spPr>
        <a:xfrm>
          <a:off x="19431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57175"/>
    <xdr:sp fLocksText="0">
      <xdr:nvSpPr>
        <xdr:cNvPr id="1" name="Text Box 1"/>
        <xdr:cNvSpPr txBox="1">
          <a:spLocks noChangeArrowheads="1"/>
        </xdr:cNvSpPr>
      </xdr:nvSpPr>
      <xdr:spPr>
        <a:xfrm>
          <a:off x="1571625" y="25717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57175"/>
    <xdr:sp fLocksText="0">
      <xdr:nvSpPr>
        <xdr:cNvPr id="2" name="Text Box 1"/>
        <xdr:cNvSpPr txBox="1">
          <a:spLocks noChangeArrowheads="1"/>
        </xdr:cNvSpPr>
      </xdr:nvSpPr>
      <xdr:spPr>
        <a:xfrm>
          <a:off x="1571625" y="25717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57175"/>
    <xdr:sp fLocksText="0">
      <xdr:nvSpPr>
        <xdr:cNvPr id="3" name="Text Box 1"/>
        <xdr:cNvSpPr txBox="1">
          <a:spLocks noChangeArrowheads="1"/>
        </xdr:cNvSpPr>
      </xdr:nvSpPr>
      <xdr:spPr>
        <a:xfrm>
          <a:off x="1571625" y="25717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57175"/>
    <xdr:sp fLocksText="0">
      <xdr:nvSpPr>
        <xdr:cNvPr id="4" name="Text Box 1"/>
        <xdr:cNvSpPr txBox="1">
          <a:spLocks noChangeArrowheads="1"/>
        </xdr:cNvSpPr>
      </xdr:nvSpPr>
      <xdr:spPr>
        <a:xfrm>
          <a:off x="1571625" y="25717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hp\Desktop\12%20th&#225;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6"/>
      <sheetName val="07"/>
    </sheetNames>
    <sheetDataSet>
      <sheetData sheetId="11">
        <row r="4">
          <cell r="B4" t="str">
            <v>CTHADS Hải Phòng</v>
          </cell>
        </row>
        <row r="7">
          <cell r="B7" t="str">
            <v>
PHÓ CỤC TRƯỞNG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613" t="s">
        <v>26</v>
      </c>
      <c r="B1" s="613"/>
      <c r="C1" s="610" t="s">
        <v>72</v>
      </c>
      <c r="D1" s="610"/>
      <c r="E1" s="610"/>
      <c r="F1" s="614" t="s">
        <v>68</v>
      </c>
      <c r="G1" s="614"/>
      <c r="H1" s="614"/>
    </row>
    <row r="2" spans="1:8" ht="33.75" customHeight="1">
      <c r="A2" s="615" t="s">
        <v>75</v>
      </c>
      <c r="B2" s="615"/>
      <c r="C2" s="610"/>
      <c r="D2" s="610"/>
      <c r="E2" s="610"/>
      <c r="F2" s="607" t="s">
        <v>69</v>
      </c>
      <c r="G2" s="607"/>
      <c r="H2" s="607"/>
    </row>
    <row r="3" spans="1:8" ht="19.5" customHeight="1">
      <c r="A3" s="6" t="s">
        <v>63</v>
      </c>
      <c r="B3" s="6"/>
      <c r="C3" s="24"/>
      <c r="D3" s="24"/>
      <c r="E3" s="24"/>
      <c r="F3" s="607" t="s">
        <v>70</v>
      </c>
      <c r="G3" s="607"/>
      <c r="H3" s="607"/>
    </row>
    <row r="4" spans="1:8" s="7" customFormat="1" ht="19.5" customHeight="1">
      <c r="A4" s="6"/>
      <c r="B4" s="6"/>
      <c r="D4" s="8"/>
      <c r="F4" s="9" t="s">
        <v>71</v>
      </c>
      <c r="G4" s="9"/>
      <c r="H4" s="9"/>
    </row>
    <row r="5" spans="1:8" s="23" customFormat="1" ht="36" customHeight="1">
      <c r="A5" s="626" t="s">
        <v>55</v>
      </c>
      <c r="B5" s="627"/>
      <c r="C5" s="630" t="s">
        <v>66</v>
      </c>
      <c r="D5" s="631"/>
      <c r="E5" s="632" t="s">
        <v>65</v>
      </c>
      <c r="F5" s="632"/>
      <c r="G5" s="632"/>
      <c r="H5" s="609"/>
    </row>
    <row r="6" spans="1:8" s="23" customFormat="1" ht="20.25" customHeight="1">
      <c r="A6" s="628"/>
      <c r="B6" s="629"/>
      <c r="C6" s="611" t="s">
        <v>3</v>
      </c>
      <c r="D6" s="611" t="s">
        <v>73</v>
      </c>
      <c r="E6" s="608" t="s">
        <v>67</v>
      </c>
      <c r="F6" s="609"/>
      <c r="G6" s="608" t="s">
        <v>74</v>
      </c>
      <c r="H6" s="609"/>
    </row>
    <row r="7" spans="1:8" s="23" customFormat="1" ht="52.5" customHeight="1">
      <c r="A7" s="628"/>
      <c r="B7" s="629"/>
      <c r="C7" s="612"/>
      <c r="D7" s="612"/>
      <c r="E7" s="5" t="s">
        <v>3</v>
      </c>
      <c r="F7" s="5" t="s">
        <v>9</v>
      </c>
      <c r="G7" s="5" t="s">
        <v>3</v>
      </c>
      <c r="H7" s="5" t="s">
        <v>9</v>
      </c>
    </row>
    <row r="8" spans="1:8" ht="15" customHeight="1">
      <c r="A8" s="617" t="s">
        <v>6</v>
      </c>
      <c r="B8" s="618"/>
      <c r="C8" s="10">
        <v>1</v>
      </c>
      <c r="D8" s="10" t="s">
        <v>44</v>
      </c>
      <c r="E8" s="10" t="s">
        <v>47</v>
      </c>
      <c r="F8" s="10" t="s">
        <v>56</v>
      </c>
      <c r="G8" s="10" t="s">
        <v>57</v>
      </c>
      <c r="H8" s="10" t="s">
        <v>58</v>
      </c>
    </row>
    <row r="9" spans="1:8" ht="26.25" customHeight="1">
      <c r="A9" s="619" t="s">
        <v>33</v>
      </c>
      <c r="B9" s="620"/>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47</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621" t="s">
        <v>54</v>
      </c>
      <c r="C16" s="621"/>
      <c r="D16" s="26"/>
      <c r="E16" s="623" t="s">
        <v>19</v>
      </c>
      <c r="F16" s="623"/>
      <c r="G16" s="623"/>
      <c r="H16" s="623"/>
    </row>
    <row r="17" spans="2:8" ht="15.75" customHeight="1">
      <c r="B17" s="621"/>
      <c r="C17" s="621"/>
      <c r="D17" s="26"/>
      <c r="E17" s="624" t="s">
        <v>38</v>
      </c>
      <c r="F17" s="624"/>
      <c r="G17" s="624"/>
      <c r="H17" s="624"/>
    </row>
    <row r="18" spans="2:8" s="27" customFormat="1" ht="15.75" customHeight="1">
      <c r="B18" s="621"/>
      <c r="C18" s="621"/>
      <c r="D18" s="28"/>
      <c r="E18" s="625" t="s">
        <v>53</v>
      </c>
      <c r="F18" s="625"/>
      <c r="G18" s="625"/>
      <c r="H18" s="625"/>
    </row>
    <row r="20" ht="15.75">
      <c r="B20" s="19"/>
    </row>
    <row r="22" ht="15.75" hidden="1">
      <c r="A22" s="20" t="s">
        <v>41</v>
      </c>
    </row>
    <row r="23" spans="1:3" ht="15.75" hidden="1">
      <c r="A23" s="21"/>
      <c r="B23" s="622" t="s">
        <v>48</v>
      </c>
      <c r="C23" s="622"/>
    </row>
    <row r="24" spans="1:8" ht="15.75" customHeight="1" hidden="1">
      <c r="A24" s="22" t="s">
        <v>25</v>
      </c>
      <c r="B24" s="616" t="s">
        <v>51</v>
      </c>
      <c r="C24" s="616"/>
      <c r="D24" s="22"/>
      <c r="E24" s="22"/>
      <c r="F24" s="22"/>
      <c r="G24" s="22"/>
      <c r="H24" s="22"/>
    </row>
    <row r="25" spans="1:8" ht="15" customHeight="1" hidden="1">
      <c r="A25" s="22"/>
      <c r="B25" s="616" t="s">
        <v>52</v>
      </c>
      <c r="C25" s="616"/>
      <c r="D25" s="616"/>
      <c r="E25" s="22"/>
      <c r="F25" s="22"/>
      <c r="G25" s="22"/>
      <c r="H25" s="22"/>
    </row>
    <row r="26" spans="2:3" ht="15.75">
      <c r="B26" s="23"/>
      <c r="C26" s="23"/>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818" t="s">
        <v>224</v>
      </c>
      <c r="B1" s="818"/>
      <c r="C1" s="818"/>
      <c r="D1" s="821" t="s">
        <v>340</v>
      </c>
      <c r="E1" s="821"/>
      <c r="F1" s="821"/>
      <c r="G1" s="821"/>
      <c r="H1" s="821"/>
      <c r="I1" s="821"/>
      <c r="J1" s="191" t="s">
        <v>341</v>
      </c>
      <c r="K1" s="322"/>
      <c r="L1" s="322"/>
    </row>
    <row r="2" spans="1:12" ht="18.75" customHeight="1">
      <c r="A2" s="819" t="s">
        <v>299</v>
      </c>
      <c r="B2" s="819"/>
      <c r="C2" s="819"/>
      <c r="D2" s="899" t="s">
        <v>225</v>
      </c>
      <c r="E2" s="899"/>
      <c r="F2" s="899"/>
      <c r="G2" s="899"/>
      <c r="H2" s="899"/>
      <c r="I2" s="899"/>
      <c r="J2" s="818" t="s">
        <v>342</v>
      </c>
      <c r="K2" s="818"/>
      <c r="L2" s="818"/>
    </row>
    <row r="3" spans="1:12" ht="17.25">
      <c r="A3" s="819" t="s">
        <v>251</v>
      </c>
      <c r="B3" s="819"/>
      <c r="C3" s="819"/>
      <c r="D3" s="900" t="s">
        <v>343</v>
      </c>
      <c r="E3" s="901"/>
      <c r="F3" s="901"/>
      <c r="G3" s="901"/>
      <c r="H3" s="901"/>
      <c r="I3" s="901"/>
      <c r="J3" s="194" t="s">
        <v>359</v>
      </c>
      <c r="K3" s="194"/>
      <c r="L3" s="194"/>
    </row>
    <row r="4" spans="1:12" ht="15.75">
      <c r="A4" s="896" t="s">
        <v>344</v>
      </c>
      <c r="B4" s="896"/>
      <c r="C4" s="896"/>
      <c r="D4" s="897"/>
      <c r="E4" s="897"/>
      <c r="F4" s="897"/>
      <c r="G4" s="897"/>
      <c r="H4" s="897"/>
      <c r="I4" s="897"/>
      <c r="J4" s="826" t="s">
        <v>301</v>
      </c>
      <c r="K4" s="826"/>
      <c r="L4" s="826"/>
    </row>
    <row r="5" spans="1:13" ht="15.75">
      <c r="A5" s="324"/>
      <c r="B5" s="324"/>
      <c r="C5" s="325"/>
      <c r="D5" s="325"/>
      <c r="E5" s="193"/>
      <c r="J5" s="326" t="s">
        <v>345</v>
      </c>
      <c r="K5" s="241"/>
      <c r="L5" s="241"/>
      <c r="M5" s="241"/>
    </row>
    <row r="6" spans="1:13" s="329" customFormat="1" ht="24.75" customHeight="1">
      <c r="A6" s="890" t="s">
        <v>55</v>
      </c>
      <c r="B6" s="891"/>
      <c r="C6" s="888" t="s">
        <v>346</v>
      </c>
      <c r="D6" s="888"/>
      <c r="E6" s="888"/>
      <c r="F6" s="888"/>
      <c r="G6" s="888"/>
      <c r="H6" s="888"/>
      <c r="I6" s="888" t="s">
        <v>226</v>
      </c>
      <c r="J6" s="888"/>
      <c r="K6" s="888"/>
      <c r="L6" s="888"/>
      <c r="M6" s="328"/>
    </row>
    <row r="7" spans="1:13" s="329" customFormat="1" ht="17.25" customHeight="1">
      <c r="A7" s="892"/>
      <c r="B7" s="893"/>
      <c r="C7" s="888" t="s">
        <v>31</v>
      </c>
      <c r="D7" s="888"/>
      <c r="E7" s="888" t="s">
        <v>7</v>
      </c>
      <c r="F7" s="888"/>
      <c r="G7" s="888"/>
      <c r="H7" s="888"/>
      <c r="I7" s="888" t="s">
        <v>227</v>
      </c>
      <c r="J7" s="888"/>
      <c r="K7" s="888" t="s">
        <v>228</v>
      </c>
      <c r="L7" s="888"/>
      <c r="M7" s="328"/>
    </row>
    <row r="8" spans="1:12" s="329" customFormat="1" ht="27.75" customHeight="1">
      <c r="A8" s="892"/>
      <c r="B8" s="893"/>
      <c r="C8" s="888"/>
      <c r="D8" s="888"/>
      <c r="E8" s="888" t="s">
        <v>229</v>
      </c>
      <c r="F8" s="888"/>
      <c r="G8" s="888" t="s">
        <v>230</v>
      </c>
      <c r="H8" s="888"/>
      <c r="I8" s="888"/>
      <c r="J8" s="888"/>
      <c r="K8" s="888"/>
      <c r="L8" s="888"/>
    </row>
    <row r="9" spans="1:12" s="329" customFormat="1" ht="24.75" customHeight="1">
      <c r="A9" s="894"/>
      <c r="B9" s="895"/>
      <c r="C9" s="327" t="s">
        <v>231</v>
      </c>
      <c r="D9" s="327" t="s">
        <v>9</v>
      </c>
      <c r="E9" s="327" t="s">
        <v>3</v>
      </c>
      <c r="F9" s="327" t="s">
        <v>232</v>
      </c>
      <c r="G9" s="327" t="s">
        <v>3</v>
      </c>
      <c r="H9" s="327" t="s">
        <v>232</v>
      </c>
      <c r="I9" s="327" t="s">
        <v>3</v>
      </c>
      <c r="J9" s="327" t="s">
        <v>232</v>
      </c>
      <c r="K9" s="327" t="s">
        <v>3</v>
      </c>
      <c r="L9" s="327" t="s">
        <v>232</v>
      </c>
    </row>
    <row r="10" spans="1:12" s="331" customFormat="1" ht="15.75">
      <c r="A10" s="789" t="s">
        <v>6</v>
      </c>
      <c r="B10" s="790"/>
      <c r="C10" s="330">
        <v>1</v>
      </c>
      <c r="D10" s="330">
        <v>2</v>
      </c>
      <c r="E10" s="330">
        <v>3</v>
      </c>
      <c r="F10" s="330">
        <v>4</v>
      </c>
      <c r="G10" s="330">
        <v>5</v>
      </c>
      <c r="H10" s="330">
        <v>6</v>
      </c>
      <c r="I10" s="330">
        <v>7</v>
      </c>
      <c r="J10" s="330">
        <v>8</v>
      </c>
      <c r="K10" s="330">
        <v>9</v>
      </c>
      <c r="L10" s="330">
        <v>10</v>
      </c>
    </row>
    <row r="11" spans="1:12" s="331" customFormat="1" ht="30.75" customHeight="1">
      <c r="A11" s="801" t="s">
        <v>296</v>
      </c>
      <c r="B11" s="802"/>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811" t="s">
        <v>297</v>
      </c>
      <c r="B12" s="812"/>
      <c r="C12" s="249">
        <v>0</v>
      </c>
      <c r="D12" s="249">
        <v>0</v>
      </c>
      <c r="E12" s="249">
        <v>0</v>
      </c>
      <c r="F12" s="249">
        <v>0</v>
      </c>
      <c r="G12" s="249">
        <v>0</v>
      </c>
      <c r="H12" s="249">
        <v>0</v>
      </c>
      <c r="I12" s="249">
        <v>0</v>
      </c>
      <c r="J12" s="249">
        <v>0</v>
      </c>
      <c r="K12" s="249">
        <v>0</v>
      </c>
      <c r="L12" s="249">
        <v>0</v>
      </c>
    </row>
    <row r="13" spans="1:32" s="331" customFormat="1" ht="17.25" customHeight="1">
      <c r="A13" s="798" t="s">
        <v>30</v>
      </c>
      <c r="B13" s="794"/>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78</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266</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298</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269</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270</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271</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272</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277</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279</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280</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281</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283</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814" t="s">
        <v>284</v>
      </c>
      <c r="C28" s="814"/>
      <c r="D28" s="814"/>
      <c r="E28" s="204"/>
      <c r="F28" s="258"/>
      <c r="G28" s="258"/>
      <c r="H28" s="813" t="s">
        <v>284</v>
      </c>
      <c r="I28" s="813"/>
      <c r="J28" s="813"/>
      <c r="K28" s="813"/>
      <c r="L28" s="813"/>
      <c r="AG28" s="192" t="s">
        <v>285</v>
      </c>
      <c r="AI28" s="190">
        <f>82/88</f>
        <v>0.9318181818181818</v>
      </c>
    </row>
    <row r="29" spans="1:12" s="192" customFormat="1" ht="19.5" customHeight="1">
      <c r="A29" s="202"/>
      <c r="B29" s="815" t="s">
        <v>233</v>
      </c>
      <c r="C29" s="815"/>
      <c r="D29" s="815"/>
      <c r="E29" s="204"/>
      <c r="F29" s="205"/>
      <c r="G29" s="205"/>
      <c r="H29" s="816" t="s">
        <v>151</v>
      </c>
      <c r="I29" s="816"/>
      <c r="J29" s="816"/>
      <c r="K29" s="816"/>
      <c r="L29" s="816"/>
    </row>
    <row r="30" spans="1:12" s="196" customFormat="1" ht="15" customHeight="1">
      <c r="A30" s="202"/>
      <c r="B30" s="889"/>
      <c r="C30" s="889"/>
      <c r="D30" s="889"/>
      <c r="E30" s="204"/>
      <c r="F30" s="205"/>
      <c r="G30" s="205"/>
      <c r="H30" s="761"/>
      <c r="I30" s="761"/>
      <c r="J30" s="761"/>
      <c r="K30" s="761"/>
      <c r="L30" s="761"/>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887" t="s">
        <v>288</v>
      </c>
      <c r="C33" s="887"/>
      <c r="D33" s="887"/>
      <c r="E33" s="336"/>
      <c r="F33" s="336"/>
      <c r="G33" s="336"/>
      <c r="H33" s="336"/>
      <c r="I33" s="336"/>
      <c r="J33" s="337" t="s">
        <v>288</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898" t="s">
        <v>234</v>
      </c>
      <c r="C37" s="898"/>
      <c r="D37" s="898"/>
      <c r="E37" s="898"/>
      <c r="F37" s="898"/>
      <c r="G37" s="898"/>
      <c r="H37" s="898"/>
      <c r="I37" s="898"/>
      <c r="J37" s="898"/>
      <c r="K37" s="339"/>
      <c r="L37" s="294"/>
      <c r="M37" s="265"/>
      <c r="N37" s="265"/>
      <c r="O37" s="265"/>
    </row>
    <row r="38" spans="2:12" s="184" customFormat="1" ht="18.75" hidden="1">
      <c r="B38" s="236" t="s">
        <v>235</v>
      </c>
      <c r="C38" s="186"/>
      <c r="D38" s="186"/>
      <c r="E38" s="186"/>
      <c r="F38" s="186"/>
      <c r="G38" s="186"/>
      <c r="H38" s="186"/>
      <c r="I38" s="186"/>
      <c r="J38" s="186"/>
      <c r="K38" s="338"/>
      <c r="L38" s="186"/>
    </row>
    <row r="39" spans="2:12" ht="18.75" hidden="1">
      <c r="B39" s="340" t="s">
        <v>236</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633" t="s">
        <v>330</v>
      </c>
      <c r="C41" s="633"/>
      <c r="D41" s="633"/>
      <c r="E41" s="210"/>
      <c r="F41" s="210"/>
      <c r="G41" s="182"/>
      <c r="H41" s="634" t="s">
        <v>242</v>
      </c>
      <c r="I41" s="634"/>
      <c r="J41" s="634"/>
      <c r="K41" s="634"/>
      <c r="L41" s="634"/>
      <c r="M41" s="163"/>
    </row>
    <row r="42" spans="2:12" ht="18.75">
      <c r="B42" s="336"/>
      <c r="C42" s="336"/>
      <c r="D42" s="336"/>
      <c r="E42" s="336"/>
      <c r="F42" s="336"/>
      <c r="G42" s="336"/>
      <c r="H42" s="336"/>
      <c r="I42" s="336"/>
      <c r="J42" s="336"/>
      <c r="K42" s="336"/>
      <c r="L42" s="336"/>
    </row>
  </sheetData>
  <sheetProtection/>
  <mergeCells count="33">
    <mergeCell ref="A1:C1"/>
    <mergeCell ref="D1:I1"/>
    <mergeCell ref="D2:I2"/>
    <mergeCell ref="D3:I3"/>
    <mergeCell ref="A2:C2"/>
    <mergeCell ref="A3:C3"/>
    <mergeCell ref="J4:L4"/>
    <mergeCell ref="B41:D41"/>
    <mergeCell ref="H41:L41"/>
    <mergeCell ref="C6:H6"/>
    <mergeCell ref="A4:C4"/>
    <mergeCell ref="D4:I4"/>
    <mergeCell ref="B37:J37"/>
    <mergeCell ref="C7:D8"/>
    <mergeCell ref="E7:H7"/>
    <mergeCell ref="I6:L6"/>
    <mergeCell ref="J2:L2"/>
    <mergeCell ref="B30:D30"/>
    <mergeCell ref="B29:D29"/>
    <mergeCell ref="A6:B9"/>
    <mergeCell ref="B28:D28"/>
    <mergeCell ref="E8:F8"/>
    <mergeCell ref="G8:H8"/>
    <mergeCell ref="I7:J8"/>
    <mergeCell ref="A10:B10"/>
    <mergeCell ref="H28:L28"/>
    <mergeCell ref="H29:L29"/>
    <mergeCell ref="A13:B13"/>
    <mergeCell ref="B33:D33"/>
    <mergeCell ref="K7:L8"/>
    <mergeCell ref="H30:L30"/>
    <mergeCell ref="A12:B12"/>
    <mergeCell ref="A11:B11"/>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902" t="s">
        <v>372</v>
      </c>
      <c r="M1" s="903"/>
      <c r="N1" s="903"/>
      <c r="O1" s="365"/>
      <c r="P1" s="365"/>
      <c r="Q1" s="365"/>
      <c r="R1" s="365"/>
      <c r="S1" s="365"/>
      <c r="T1" s="365"/>
      <c r="U1" s="365"/>
      <c r="V1" s="365"/>
      <c r="W1" s="365"/>
      <c r="X1" s="365"/>
      <c r="Y1" s="366"/>
    </row>
    <row r="2" spans="11:17" ht="34.5" customHeight="1">
      <c r="K2" s="349"/>
      <c r="L2" s="904" t="s">
        <v>379</v>
      </c>
      <c r="M2" s="905"/>
      <c r="N2" s="906"/>
      <c r="O2" s="29"/>
      <c r="P2" s="351"/>
      <c r="Q2" s="347"/>
    </row>
    <row r="3" spans="11:18" ht="31.5" customHeight="1">
      <c r="K3" s="349"/>
      <c r="L3" s="354" t="s">
        <v>388</v>
      </c>
      <c r="M3" s="355">
        <f>'06'!C11</f>
        <v>14496</v>
      </c>
      <c r="N3" s="355"/>
      <c r="O3" s="355"/>
      <c r="P3" s="352"/>
      <c r="Q3" s="348"/>
      <c r="R3" s="345"/>
    </row>
    <row r="4" spans="11:18" ht="30" customHeight="1">
      <c r="K4" s="349"/>
      <c r="L4" s="356" t="s">
        <v>373</v>
      </c>
      <c r="M4" s="357">
        <f>'06'!D11</f>
        <v>8097</v>
      </c>
      <c r="N4" s="355"/>
      <c r="O4" s="355"/>
      <c r="P4" s="352"/>
      <c r="Q4" s="348"/>
      <c r="R4" s="345"/>
    </row>
    <row r="5" spans="11:18" ht="31.5" customHeight="1">
      <c r="K5" s="349"/>
      <c r="L5" s="356" t="s">
        <v>374</v>
      </c>
      <c r="M5" s="357">
        <f>'06'!E11</f>
        <v>6399</v>
      </c>
      <c r="N5" s="355"/>
      <c r="O5" s="355"/>
      <c r="P5" s="352"/>
      <c r="Q5" s="348"/>
      <c r="R5" s="345"/>
    </row>
    <row r="6" spans="11:18" ht="27" customHeight="1">
      <c r="K6" s="349"/>
      <c r="L6" s="354" t="s">
        <v>375</v>
      </c>
      <c r="M6" s="355">
        <f>'06'!F11</f>
        <v>121</v>
      </c>
      <c r="N6" s="355"/>
      <c r="O6" s="355"/>
      <c r="P6" s="352"/>
      <c r="Q6" s="348"/>
      <c r="R6" s="345"/>
    </row>
    <row r="7" spans="11:18" s="342" customFormat="1" ht="30" customHeight="1">
      <c r="K7" s="350"/>
      <c r="L7" s="358" t="s">
        <v>390</v>
      </c>
      <c r="M7" s="355">
        <f>'06'!H11</f>
        <v>14375</v>
      </c>
      <c r="N7" s="355"/>
      <c r="O7" s="355"/>
      <c r="P7" s="352"/>
      <c r="Q7" s="348"/>
      <c r="R7" s="345"/>
    </row>
    <row r="8" spans="11:18" ht="30.75" customHeight="1">
      <c r="K8" s="349"/>
      <c r="L8" s="359" t="s">
        <v>389</v>
      </c>
      <c r="M8" s="360">
        <f>'[7]M6 Tong hop Viec CHV '!$C$12</f>
        <v>1489</v>
      </c>
      <c r="N8" s="355"/>
      <c r="O8" s="355"/>
      <c r="P8" s="352"/>
      <c r="Q8" s="348"/>
      <c r="R8" s="345"/>
    </row>
    <row r="9" spans="11:18" ht="33" customHeight="1">
      <c r="K9" s="349"/>
      <c r="L9" s="367" t="s">
        <v>392</v>
      </c>
      <c r="M9" s="368">
        <f>(M7-M8)/M8</f>
        <v>8.654130288784419</v>
      </c>
      <c r="N9" s="355"/>
      <c r="O9" s="355"/>
      <c r="P9" s="352"/>
      <c r="Q9" s="348"/>
      <c r="R9" s="345"/>
    </row>
    <row r="10" spans="11:18" ht="33" customHeight="1">
      <c r="K10" s="349"/>
      <c r="L10" s="354" t="s">
        <v>391</v>
      </c>
      <c r="M10" s="355">
        <f>'06'!I11</f>
        <v>8680</v>
      </c>
      <c r="N10" s="355" t="s">
        <v>376</v>
      </c>
      <c r="O10" s="361">
        <f>M10/M7</f>
        <v>0.6038260869565217</v>
      </c>
      <c r="P10" s="352"/>
      <c r="Q10" s="348"/>
      <c r="R10" s="345"/>
    </row>
    <row r="11" spans="11:18" ht="22.5" customHeight="1">
      <c r="K11" s="349"/>
      <c r="L11" s="354" t="s">
        <v>393</v>
      </c>
      <c r="M11" s="355">
        <f>'06'!Q11</f>
        <v>5695</v>
      </c>
      <c r="N11" s="355" t="s">
        <v>376</v>
      </c>
      <c r="O11" s="361">
        <f>M11/M7</f>
        <v>0.39617391304347827</v>
      </c>
      <c r="P11" s="352"/>
      <c r="Q11" s="348"/>
      <c r="R11" s="345"/>
    </row>
    <row r="12" spans="11:18" ht="34.5" customHeight="1">
      <c r="K12" s="349"/>
      <c r="L12" s="354" t="s">
        <v>394</v>
      </c>
      <c r="M12" s="355">
        <f>'06'!J11+'06'!K11</f>
        <v>4936</v>
      </c>
      <c r="N12" s="354"/>
      <c r="O12" s="354"/>
      <c r="P12" s="346"/>
      <c r="R12" s="346"/>
    </row>
    <row r="13" spans="11:18" ht="33.75" customHeight="1">
      <c r="K13" s="349"/>
      <c r="L13" s="354" t="s">
        <v>395</v>
      </c>
      <c r="M13" s="361">
        <f>M12/M7</f>
        <v>0.34337391304347825</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396</v>
      </c>
      <c r="M16" s="360">
        <f>'[7]M6 Tong hop Viec CHV '!$H$12+'[7]M6 Tong hop Viec CHV '!$I$12+'[7]M6 Tong hop Viec CHV '!$K$12</f>
        <v>749</v>
      </c>
      <c r="N16" s="355"/>
      <c r="O16" s="355"/>
      <c r="P16" s="352"/>
      <c r="R16" s="346"/>
    </row>
    <row r="17" spans="11:18" ht="24.75" customHeight="1">
      <c r="K17" s="349"/>
      <c r="L17" s="367" t="s">
        <v>397</v>
      </c>
      <c r="M17" s="362">
        <f>M16/M8</f>
        <v>0.5030221625251847</v>
      </c>
      <c r="N17" s="355"/>
      <c r="O17" s="355"/>
      <c r="P17" s="352"/>
      <c r="R17" s="346"/>
    </row>
    <row r="18" spans="11:18" ht="26.25" customHeight="1">
      <c r="K18" s="349"/>
      <c r="L18" s="367" t="s">
        <v>377</v>
      </c>
      <c r="M18" s="368">
        <f>M13-M17</f>
        <v>-0.15964824948170647</v>
      </c>
      <c r="N18" s="355"/>
      <c r="O18" s="355"/>
      <c r="P18" s="352"/>
      <c r="R18" s="346"/>
    </row>
    <row r="19" spans="11:18" ht="24.75" customHeight="1">
      <c r="K19" s="349"/>
      <c r="L19" s="354" t="s">
        <v>398</v>
      </c>
      <c r="M19" s="355">
        <f>'06'!J11</f>
        <v>4817</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399</v>
      </c>
      <c r="M26" s="361">
        <f>M19/'06'!I11</f>
        <v>0.5549539170506912</v>
      </c>
      <c r="N26" s="355"/>
      <c r="O26" s="355"/>
      <c r="P26" s="352"/>
      <c r="R26" s="346"/>
    </row>
    <row r="27" spans="11:18" ht="24.75" customHeight="1">
      <c r="K27" s="349"/>
      <c r="L27" s="359" t="s">
        <v>400</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401</v>
      </c>
      <c r="M30" s="361">
        <f>M26-M27</f>
        <v>-0.11770795345290597</v>
      </c>
      <c r="N30" s="355"/>
      <c r="O30" s="355"/>
      <c r="P30" s="352"/>
      <c r="R30" s="346"/>
    </row>
    <row r="31" spans="11:18" ht="24.75" customHeight="1">
      <c r="K31" s="349"/>
      <c r="L31" s="354" t="s">
        <v>402</v>
      </c>
      <c r="M31" s="355">
        <f>'06'!R11</f>
        <v>9439</v>
      </c>
      <c r="N31" s="355"/>
      <c r="O31" s="355"/>
      <c r="P31" s="352"/>
      <c r="R31" s="346"/>
    </row>
    <row r="32" spans="11:18" ht="24.75" customHeight="1">
      <c r="K32" s="349"/>
      <c r="L32" s="359" t="s">
        <v>403</v>
      </c>
      <c r="M32" s="360">
        <f>'[7]M6 Tong hop Viec CHV '!$R$12</f>
        <v>719</v>
      </c>
      <c r="N32" s="355"/>
      <c r="O32" s="355"/>
      <c r="P32" s="352"/>
      <c r="R32" s="346"/>
    </row>
    <row r="33" spans="11:18" ht="24.75" customHeight="1">
      <c r="K33" s="349"/>
      <c r="L33" s="367" t="s">
        <v>404</v>
      </c>
      <c r="M33" s="369">
        <f>M31-M32</f>
        <v>8720</v>
      </c>
      <c r="N33" s="369" t="s">
        <v>378</v>
      </c>
      <c r="O33" s="368">
        <f>(M31-M32)/M32</f>
        <v>12.127955493741307</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380</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405</v>
      </c>
      <c r="M42" s="355">
        <f>'07'!C11</f>
        <v>6826509977</v>
      </c>
      <c r="N42" s="355"/>
      <c r="O42" s="355"/>
      <c r="P42" s="346"/>
      <c r="R42" s="346"/>
    </row>
    <row r="43" spans="11:18" ht="24.75" customHeight="1">
      <c r="K43" s="349"/>
      <c r="L43" s="363" t="s">
        <v>98</v>
      </c>
      <c r="M43" s="355">
        <f>'07'!D11</f>
        <v>3207574728</v>
      </c>
      <c r="N43" s="355"/>
      <c r="O43" s="355"/>
      <c r="P43" s="346"/>
      <c r="R43" s="346"/>
    </row>
    <row r="44" spans="11:18" ht="24.75" customHeight="1">
      <c r="K44" s="349"/>
      <c r="L44" s="363" t="s">
        <v>374</v>
      </c>
      <c r="M44" s="355">
        <f>'07'!E11</f>
        <v>3618935249</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406</v>
      </c>
      <c r="M47" s="355">
        <f>'07'!F11</f>
        <v>189702386</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407</v>
      </c>
      <c r="M50" s="355">
        <f>'07'!H11</f>
        <v>6636807591</v>
      </c>
      <c r="N50" s="355"/>
      <c r="O50" s="355"/>
      <c r="P50" s="346"/>
      <c r="R50" s="346"/>
    </row>
    <row r="51" spans="11:18" ht="24.75" customHeight="1">
      <c r="K51" s="349"/>
      <c r="L51" s="364" t="s">
        <v>408</v>
      </c>
      <c r="M51" s="360">
        <f>'[7]M7 Thop tien CHV'!$C$12</f>
        <v>54227822.442</v>
      </c>
      <c r="N51" s="355"/>
      <c r="O51" s="355"/>
      <c r="P51" s="346"/>
      <c r="R51" s="346"/>
    </row>
    <row r="52" spans="11:18" ht="24.75" customHeight="1">
      <c r="K52" s="349"/>
      <c r="L52" s="377" t="s">
        <v>381</v>
      </c>
      <c r="M52" s="369">
        <f>M50-M51</f>
        <v>6582579768.558</v>
      </c>
      <c r="N52" s="355"/>
      <c r="O52" s="355"/>
      <c r="P52" s="346"/>
      <c r="R52" s="346"/>
    </row>
    <row r="53" spans="11:18" ht="24.75" customHeight="1">
      <c r="K53" s="349"/>
      <c r="L53" s="377" t="s">
        <v>382</v>
      </c>
      <c r="M53" s="368">
        <f>(M52/M51)</f>
        <v>121.38749948144192</v>
      </c>
      <c r="N53" s="355"/>
      <c r="O53" s="355"/>
      <c r="P53" s="346"/>
      <c r="R53" s="346"/>
    </row>
    <row r="54" spans="11:18" ht="24.75" customHeight="1">
      <c r="K54" s="349"/>
      <c r="L54" s="363" t="s">
        <v>409</v>
      </c>
      <c r="M54" s="355">
        <f>'07'!I11</f>
        <v>4950474254</v>
      </c>
      <c r="N54" s="355" t="s">
        <v>383</v>
      </c>
      <c r="O54" s="361">
        <f>'07'!I11/'07'!H11</f>
        <v>0.7459119744126992</v>
      </c>
      <c r="P54" s="346"/>
      <c r="R54" s="346"/>
    </row>
    <row r="55" spans="11:18" ht="24.75" customHeight="1">
      <c r="K55" s="349"/>
      <c r="L55" s="363" t="s">
        <v>410</v>
      </c>
      <c r="M55" s="355">
        <f>'07'!R11</f>
        <v>1686333337</v>
      </c>
      <c r="N55" s="355" t="s">
        <v>383</v>
      </c>
      <c r="O55" s="361">
        <f>'07'!R11/'07'!H11</f>
        <v>0.25408802558730076</v>
      </c>
      <c r="P55" s="346"/>
      <c r="R55" s="346"/>
    </row>
    <row r="56" spans="11:18" ht="24.75" customHeight="1">
      <c r="K56" s="349"/>
      <c r="L56" s="363" t="s">
        <v>411</v>
      </c>
      <c r="M56" s="355">
        <f>'07'!J11+'07'!K11+'07'!L11</f>
        <v>441916729</v>
      </c>
      <c r="N56" s="355" t="s">
        <v>383</v>
      </c>
      <c r="O56" s="361">
        <f>M56/'07'!H11</f>
        <v>0.06658573763676254</v>
      </c>
      <c r="P56" s="346"/>
      <c r="R56" s="346"/>
    </row>
    <row r="57" spans="11:18" ht="24.75" customHeight="1">
      <c r="K57" s="349"/>
      <c r="L57" s="364" t="s">
        <v>412</v>
      </c>
      <c r="M57" s="360">
        <f>'[7]M7 Thop tien CHV'!$H$12+'[7]M7 Thop tien CHV'!$I$12+'[7]M7 Thop tien CHV'!$K$12</f>
        <v>2217726.5</v>
      </c>
      <c r="N57" s="360" t="s">
        <v>383</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413</v>
      </c>
      <c r="M60" s="368">
        <f>O56-O57</f>
        <v>0.025689267888747203</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414</v>
      </c>
      <c r="M63" s="355">
        <f>'07'!J11</f>
        <v>244369423</v>
      </c>
      <c r="N63" s="355" t="s">
        <v>384</v>
      </c>
      <c r="O63" s="361">
        <f>'07'!J11/'07'!I11</f>
        <v>0.049362830804048456</v>
      </c>
      <c r="P63" s="346"/>
      <c r="R63" s="346"/>
    </row>
    <row r="64" spans="11:16" ht="24.75" customHeight="1">
      <c r="K64" s="349"/>
      <c r="L64" s="364" t="s">
        <v>415</v>
      </c>
      <c r="M64" s="360">
        <f>'[7]M7 Thop tien CHV'!$H$12</f>
        <v>2212774.5</v>
      </c>
      <c r="N64" s="360" t="s">
        <v>385</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416</v>
      </c>
      <c r="M68" s="368">
        <f>O63-O64</f>
        <v>0.0351193294842348</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417</v>
      </c>
      <c r="M72" s="355">
        <f>'07'!S11</f>
        <v>6194890862</v>
      </c>
      <c r="N72" s="355"/>
      <c r="O72" s="355"/>
      <c r="P72" s="346"/>
    </row>
    <row r="73" spans="11:16" ht="24.75" customHeight="1">
      <c r="K73" s="349"/>
      <c r="L73" s="364" t="s">
        <v>418</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386</v>
      </c>
      <c r="M76" s="369">
        <f>M72-M73</f>
        <v>6146764051.638</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387</v>
      </c>
      <c r="M79" s="368">
        <f>M76/M73</f>
        <v>127.72016274096082</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E11" sqref="D11:E11"/>
    </sheetView>
  </sheetViews>
  <sheetFormatPr defaultColWidth="9.00390625" defaultRowHeight="15.75"/>
  <cols>
    <col min="1" max="1" width="23.50390625" style="0" customWidth="1"/>
    <col min="2" max="2" width="66.125" style="0" customWidth="1"/>
  </cols>
  <sheetData>
    <row r="2" spans="1:2" ht="62.25" customHeight="1">
      <c r="A2" s="907" t="s">
        <v>432</v>
      </c>
      <c r="B2" s="907"/>
    </row>
    <row r="3" spans="1:2" ht="22.5" customHeight="1">
      <c r="A3" s="382" t="s">
        <v>420</v>
      </c>
      <c r="B3" s="390" t="s">
        <v>617</v>
      </c>
    </row>
    <row r="4" spans="1:2" ht="22.5" customHeight="1">
      <c r="A4" s="382" t="s">
        <v>419</v>
      </c>
      <c r="B4" s="383" t="s">
        <v>532</v>
      </c>
    </row>
    <row r="5" spans="1:2" ht="22.5" customHeight="1">
      <c r="A5" s="382" t="s">
        <v>421</v>
      </c>
      <c r="B5" s="389" t="s">
        <v>531</v>
      </c>
    </row>
    <row r="6" spans="1:2" ht="22.5" customHeight="1">
      <c r="A6" s="382" t="s">
        <v>422</v>
      </c>
      <c r="B6" s="389" t="s">
        <v>434</v>
      </c>
    </row>
    <row r="7" spans="1:2" ht="34.5" customHeight="1">
      <c r="A7" s="382" t="s">
        <v>423</v>
      </c>
      <c r="B7" s="399" t="s">
        <v>533</v>
      </c>
    </row>
    <row r="8" spans="1:2" ht="15.75">
      <c r="A8" s="384" t="s">
        <v>424</v>
      </c>
      <c r="B8" s="400" t="s">
        <v>618</v>
      </c>
    </row>
    <row r="10" spans="1:2" ht="62.25" customHeight="1">
      <c r="A10" s="908" t="s">
        <v>433</v>
      </c>
      <c r="B10" s="908"/>
    </row>
    <row r="11" spans="1:2" ht="15.75">
      <c r="A11" s="909" t="s">
        <v>431</v>
      </c>
      <c r="B11" s="909"/>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9"/>
  </sheetPr>
  <dimension ref="A1:T134"/>
  <sheetViews>
    <sheetView showZeros="0" view="pageBreakPreview" zoomScaleSheetLayoutView="100" zoomScalePageLayoutView="0" workbookViewId="0" topLeftCell="A1">
      <selection activeCell="T1" sqref="T1:T16384"/>
    </sheetView>
  </sheetViews>
  <sheetFormatPr defaultColWidth="9.00390625" defaultRowHeight="15.75"/>
  <cols>
    <col min="1" max="1" width="5.125" style="405" customWidth="1"/>
    <col min="2" max="2" width="20.375" style="391" customWidth="1"/>
    <col min="3" max="3" width="9.625" style="402" customWidth="1"/>
    <col min="4" max="5" width="7.375" style="23" customWidth="1"/>
    <col min="6" max="6" width="6.50390625" style="23" customWidth="1"/>
    <col min="7" max="7" width="6.75390625" style="23" customWidth="1"/>
    <col min="8" max="8" width="8.875" style="402" customWidth="1"/>
    <col min="9" max="9" width="7.875" style="402" customWidth="1"/>
    <col min="10" max="11" width="6.25390625" style="23" customWidth="1"/>
    <col min="12" max="12" width="5.75390625" style="23" customWidth="1"/>
    <col min="13" max="14" width="5.875" style="23" customWidth="1"/>
    <col min="15" max="15" width="6.125" style="23" customWidth="1"/>
    <col min="16" max="16" width="5.25390625" style="23" customWidth="1"/>
    <col min="17" max="17" width="7.50390625" style="402" customWidth="1"/>
    <col min="18" max="18" width="8.75390625" style="402" customWidth="1"/>
    <col min="19" max="19" width="8.625" style="23" customWidth="1"/>
    <col min="20" max="20" width="9.00390625" style="414" customWidth="1"/>
    <col min="21" max="16384" width="9.00390625" style="23" customWidth="1"/>
  </cols>
  <sheetData>
    <row r="1" spans="1:20" ht="20.25" customHeight="1">
      <c r="A1" s="416" t="s">
        <v>27</v>
      </c>
      <c r="B1" s="451"/>
      <c r="C1" s="415"/>
      <c r="D1" s="417"/>
      <c r="E1" s="926" t="s">
        <v>64</v>
      </c>
      <c r="F1" s="926"/>
      <c r="G1" s="926"/>
      <c r="H1" s="926"/>
      <c r="I1" s="926"/>
      <c r="J1" s="926"/>
      <c r="K1" s="926"/>
      <c r="L1" s="926"/>
      <c r="M1" s="926"/>
      <c r="N1" s="926"/>
      <c r="O1" s="926"/>
      <c r="P1" s="418" t="s">
        <v>426</v>
      </c>
      <c r="Q1" s="418"/>
      <c r="R1" s="418"/>
      <c r="S1" s="418"/>
      <c r="T1" s="419"/>
    </row>
    <row r="2" spans="1:20" ht="17.25" customHeight="1">
      <c r="A2" s="912" t="s">
        <v>238</v>
      </c>
      <c r="B2" s="912"/>
      <c r="C2" s="912"/>
      <c r="D2" s="912"/>
      <c r="E2" s="927" t="s">
        <v>34</v>
      </c>
      <c r="F2" s="927"/>
      <c r="G2" s="927"/>
      <c r="H2" s="927"/>
      <c r="I2" s="927"/>
      <c r="J2" s="927"/>
      <c r="K2" s="927"/>
      <c r="L2" s="927"/>
      <c r="M2" s="927"/>
      <c r="N2" s="927"/>
      <c r="O2" s="927"/>
      <c r="P2" s="913" t="str">
        <f>'[8]Thong tin'!B4</f>
        <v>CTHADS Hải Phòng</v>
      </c>
      <c r="Q2" s="913"/>
      <c r="R2" s="913"/>
      <c r="S2" s="913"/>
      <c r="T2" s="419"/>
    </row>
    <row r="3" spans="1:20" ht="19.5" customHeight="1">
      <c r="A3" s="912" t="s">
        <v>239</v>
      </c>
      <c r="B3" s="912"/>
      <c r="C3" s="912"/>
      <c r="D3" s="912"/>
      <c r="E3" s="928" t="s">
        <v>619</v>
      </c>
      <c r="F3" s="928"/>
      <c r="G3" s="928"/>
      <c r="H3" s="928"/>
      <c r="I3" s="928"/>
      <c r="J3" s="928"/>
      <c r="K3" s="928"/>
      <c r="L3" s="928"/>
      <c r="M3" s="928"/>
      <c r="N3" s="928"/>
      <c r="O3" s="928"/>
      <c r="P3" s="418" t="s">
        <v>530</v>
      </c>
      <c r="Q3" s="415"/>
      <c r="R3" s="418"/>
      <c r="S3" s="418"/>
      <c r="T3" s="419"/>
    </row>
    <row r="4" spans="1:20" ht="14.25" customHeight="1">
      <c r="A4" s="420" t="s">
        <v>117</v>
      </c>
      <c r="B4" s="451"/>
      <c r="C4" s="415"/>
      <c r="D4" s="415"/>
      <c r="E4" s="415"/>
      <c r="F4" s="415"/>
      <c r="G4" s="415"/>
      <c r="H4" s="415"/>
      <c r="I4" s="415"/>
      <c r="J4" s="415"/>
      <c r="K4" s="415"/>
      <c r="L4" s="415"/>
      <c r="M4" s="415"/>
      <c r="N4" s="421"/>
      <c r="O4" s="421"/>
      <c r="P4" s="910" t="s">
        <v>301</v>
      </c>
      <c r="Q4" s="910"/>
      <c r="R4" s="910"/>
      <c r="S4" s="910"/>
      <c r="T4" s="419"/>
    </row>
    <row r="5" spans="1:20" ht="21.75" customHeight="1">
      <c r="A5" s="416"/>
      <c r="B5" s="451"/>
      <c r="C5" s="417"/>
      <c r="D5" s="417"/>
      <c r="E5" s="417"/>
      <c r="F5" s="417"/>
      <c r="G5" s="417"/>
      <c r="H5" s="417"/>
      <c r="I5" s="417"/>
      <c r="J5" s="417"/>
      <c r="K5" s="417"/>
      <c r="L5" s="417"/>
      <c r="M5" s="417"/>
      <c r="N5" s="417"/>
      <c r="O5" s="417"/>
      <c r="P5" s="417"/>
      <c r="Q5" s="422" t="s">
        <v>237</v>
      </c>
      <c r="R5" s="423"/>
      <c r="S5" s="423"/>
      <c r="T5" s="419"/>
    </row>
    <row r="6" spans="1:20" ht="19.5" customHeight="1">
      <c r="A6" s="915" t="s">
        <v>55</v>
      </c>
      <c r="B6" s="916"/>
      <c r="C6" s="914" t="s">
        <v>118</v>
      </c>
      <c r="D6" s="914"/>
      <c r="E6" s="914"/>
      <c r="F6" s="911" t="s">
        <v>99</v>
      </c>
      <c r="G6" s="911" t="s">
        <v>119</v>
      </c>
      <c r="H6" s="929" t="s">
        <v>100</v>
      </c>
      <c r="I6" s="929"/>
      <c r="J6" s="929"/>
      <c r="K6" s="929"/>
      <c r="L6" s="929"/>
      <c r="M6" s="929"/>
      <c r="N6" s="929"/>
      <c r="O6" s="929"/>
      <c r="P6" s="929"/>
      <c r="Q6" s="929"/>
      <c r="R6" s="914" t="s">
        <v>243</v>
      </c>
      <c r="S6" s="931" t="s">
        <v>428</v>
      </c>
      <c r="T6" s="419"/>
    </row>
    <row r="7" spans="1:20" s="378" customFormat="1" ht="21" customHeight="1">
      <c r="A7" s="917"/>
      <c r="B7" s="918"/>
      <c r="C7" s="914" t="s">
        <v>42</v>
      </c>
      <c r="D7" s="914" t="s">
        <v>7</v>
      </c>
      <c r="E7" s="914"/>
      <c r="F7" s="911"/>
      <c r="G7" s="911"/>
      <c r="H7" s="911" t="s">
        <v>100</v>
      </c>
      <c r="I7" s="914" t="s">
        <v>101</v>
      </c>
      <c r="J7" s="914"/>
      <c r="K7" s="914"/>
      <c r="L7" s="914"/>
      <c r="M7" s="914"/>
      <c r="N7" s="914"/>
      <c r="O7" s="914"/>
      <c r="P7" s="914"/>
      <c r="Q7" s="911" t="s">
        <v>110</v>
      </c>
      <c r="R7" s="914"/>
      <c r="S7" s="931"/>
      <c r="T7" s="424"/>
    </row>
    <row r="8" spans="1:20" ht="15.75" customHeight="1">
      <c r="A8" s="917"/>
      <c r="B8" s="918"/>
      <c r="C8" s="914"/>
      <c r="D8" s="914" t="s">
        <v>121</v>
      </c>
      <c r="E8" s="914" t="s">
        <v>122</v>
      </c>
      <c r="F8" s="911"/>
      <c r="G8" s="911"/>
      <c r="H8" s="911"/>
      <c r="I8" s="911" t="s">
        <v>427</v>
      </c>
      <c r="J8" s="914" t="s">
        <v>7</v>
      </c>
      <c r="K8" s="914"/>
      <c r="L8" s="914"/>
      <c r="M8" s="914"/>
      <c r="N8" s="914"/>
      <c r="O8" s="914"/>
      <c r="P8" s="914"/>
      <c r="Q8" s="911"/>
      <c r="R8" s="914"/>
      <c r="S8" s="931"/>
      <c r="T8" s="419"/>
    </row>
    <row r="9" spans="1:20" ht="78" customHeight="1">
      <c r="A9" s="919"/>
      <c r="B9" s="920"/>
      <c r="C9" s="914"/>
      <c r="D9" s="914"/>
      <c r="E9" s="914"/>
      <c r="F9" s="911"/>
      <c r="G9" s="911"/>
      <c r="H9" s="911"/>
      <c r="I9" s="911"/>
      <c r="J9" s="452" t="s">
        <v>123</v>
      </c>
      <c r="K9" s="452" t="s">
        <v>124</v>
      </c>
      <c r="L9" s="450" t="s">
        <v>103</v>
      </c>
      <c r="M9" s="450" t="s">
        <v>125</v>
      </c>
      <c r="N9" s="450" t="s">
        <v>106</v>
      </c>
      <c r="O9" s="450" t="s">
        <v>244</v>
      </c>
      <c r="P9" s="450" t="s">
        <v>109</v>
      </c>
      <c r="Q9" s="911"/>
      <c r="R9" s="914"/>
      <c r="S9" s="931"/>
      <c r="T9" s="419"/>
    </row>
    <row r="10" spans="1:20" ht="22.5" customHeight="1">
      <c r="A10" s="921" t="s">
        <v>6</v>
      </c>
      <c r="B10" s="922"/>
      <c r="C10" s="425">
        <v>1</v>
      </c>
      <c r="D10" s="425">
        <v>2</v>
      </c>
      <c r="E10" s="425">
        <v>3</v>
      </c>
      <c r="F10" s="425">
        <v>4</v>
      </c>
      <c r="G10" s="425">
        <v>5</v>
      </c>
      <c r="H10" s="425">
        <v>6</v>
      </c>
      <c r="I10" s="425">
        <v>7</v>
      </c>
      <c r="J10" s="425">
        <v>8</v>
      </c>
      <c r="K10" s="425">
        <v>9</v>
      </c>
      <c r="L10" s="425">
        <v>10</v>
      </c>
      <c r="M10" s="425">
        <v>11</v>
      </c>
      <c r="N10" s="425">
        <v>12</v>
      </c>
      <c r="O10" s="425">
        <v>13</v>
      </c>
      <c r="P10" s="425">
        <v>14</v>
      </c>
      <c r="Q10" s="425">
        <v>15</v>
      </c>
      <c r="R10" s="425">
        <v>16</v>
      </c>
      <c r="S10" s="426" t="s">
        <v>248</v>
      </c>
      <c r="T10" s="419"/>
    </row>
    <row r="11" spans="1:20" s="431" customFormat="1" ht="25.5" customHeight="1">
      <c r="A11" s="924" t="s">
        <v>30</v>
      </c>
      <c r="B11" s="925"/>
      <c r="C11" s="572">
        <f>C12+C33</f>
        <v>14496</v>
      </c>
      <c r="D11" s="572">
        <f aca="true" t="shared" si="0" ref="D11:Q11">D12+D33</f>
        <v>8097</v>
      </c>
      <c r="E11" s="572">
        <f t="shared" si="0"/>
        <v>6399</v>
      </c>
      <c r="F11" s="572">
        <f t="shared" si="0"/>
        <v>121</v>
      </c>
      <c r="G11" s="572">
        <f t="shared" si="0"/>
        <v>4</v>
      </c>
      <c r="H11" s="572">
        <f t="shared" si="0"/>
        <v>14375</v>
      </c>
      <c r="I11" s="572">
        <f t="shared" si="0"/>
        <v>8680</v>
      </c>
      <c r="J11" s="572">
        <f t="shared" si="0"/>
        <v>4817</v>
      </c>
      <c r="K11" s="572">
        <f t="shared" si="0"/>
        <v>119</v>
      </c>
      <c r="L11" s="572">
        <f t="shared" si="0"/>
        <v>3727</v>
      </c>
      <c r="M11" s="572">
        <f t="shared" si="0"/>
        <v>5</v>
      </c>
      <c r="N11" s="572">
        <f t="shared" si="0"/>
        <v>2</v>
      </c>
      <c r="O11" s="572">
        <f t="shared" si="0"/>
        <v>0</v>
      </c>
      <c r="P11" s="572">
        <f t="shared" si="0"/>
        <v>10</v>
      </c>
      <c r="Q11" s="572">
        <f t="shared" si="0"/>
        <v>5695</v>
      </c>
      <c r="R11" s="572">
        <f>SUM(L11:Q11)</f>
        <v>9439</v>
      </c>
      <c r="S11" s="573">
        <f>(J11+K11)/I11*100</f>
        <v>56.86635944700461</v>
      </c>
      <c r="T11" s="574">
        <f>C11-F11-H11</f>
        <v>0</v>
      </c>
    </row>
    <row r="12" spans="1:20" s="407" customFormat="1" ht="25.5" customHeight="1">
      <c r="A12" s="575" t="s">
        <v>0</v>
      </c>
      <c r="B12" s="576" t="s">
        <v>78</v>
      </c>
      <c r="C12" s="577">
        <f>SUM(C13:C32)</f>
        <v>734</v>
      </c>
      <c r="D12" s="577">
        <f aca="true" t="shared" si="1" ref="D12:Q12">SUM(D13:D32)</f>
        <v>193</v>
      </c>
      <c r="E12" s="577">
        <f t="shared" si="1"/>
        <v>541</v>
      </c>
      <c r="F12" s="577">
        <f t="shared" si="1"/>
        <v>22</v>
      </c>
      <c r="G12" s="577">
        <f t="shared" si="1"/>
        <v>0</v>
      </c>
      <c r="H12" s="577">
        <f t="shared" si="1"/>
        <v>712</v>
      </c>
      <c r="I12" s="577">
        <f t="shared" si="1"/>
        <v>671</v>
      </c>
      <c r="J12" s="577">
        <f t="shared" si="1"/>
        <v>337</v>
      </c>
      <c r="K12" s="577">
        <f t="shared" si="1"/>
        <v>1</v>
      </c>
      <c r="L12" s="577">
        <f t="shared" si="1"/>
        <v>331</v>
      </c>
      <c r="M12" s="577">
        <f t="shared" si="1"/>
        <v>0</v>
      </c>
      <c r="N12" s="577">
        <f t="shared" si="1"/>
        <v>2</v>
      </c>
      <c r="O12" s="577">
        <f t="shared" si="1"/>
        <v>0</v>
      </c>
      <c r="P12" s="577">
        <f t="shared" si="1"/>
        <v>0</v>
      </c>
      <c r="Q12" s="577">
        <f t="shared" si="1"/>
        <v>41</v>
      </c>
      <c r="R12" s="572">
        <f aca="true" t="shared" si="2" ref="R12:R75">SUM(L12:Q12)</f>
        <v>374</v>
      </c>
      <c r="S12" s="573">
        <f aca="true" t="shared" si="3" ref="S12:S75">(J12+K12)/I12*100</f>
        <v>50.3725782414307</v>
      </c>
      <c r="T12" s="574">
        <f aca="true" t="shared" si="4" ref="T12:T77">C12-F12-H12</f>
        <v>0</v>
      </c>
    </row>
    <row r="13" spans="1:20" s="381" customFormat="1" ht="25.5" customHeight="1">
      <c r="A13" s="552" t="s">
        <v>45</v>
      </c>
      <c r="B13" s="553" t="s">
        <v>435</v>
      </c>
      <c r="C13" s="540">
        <f>D13+E13</f>
        <v>13</v>
      </c>
      <c r="D13" s="541">
        <v>1</v>
      </c>
      <c r="E13" s="540">
        <v>12</v>
      </c>
      <c r="F13" s="540">
        <v>0</v>
      </c>
      <c r="G13" s="540"/>
      <c r="H13" s="540">
        <f aca="true" t="shared" si="5" ref="H13:H32">I13+Q13</f>
        <v>13</v>
      </c>
      <c r="I13" s="540">
        <f>SUM(J13:P13)</f>
        <v>13</v>
      </c>
      <c r="J13" s="540">
        <v>7</v>
      </c>
      <c r="K13" s="540">
        <v>0</v>
      </c>
      <c r="L13" s="540">
        <v>6</v>
      </c>
      <c r="M13" s="540"/>
      <c r="N13" s="540"/>
      <c r="O13" s="540"/>
      <c r="P13" s="540"/>
      <c r="Q13" s="540"/>
      <c r="R13" s="534">
        <f t="shared" si="2"/>
        <v>6</v>
      </c>
      <c r="S13" s="427">
        <f t="shared" si="3"/>
        <v>53.84615384615385</v>
      </c>
      <c r="T13" s="419">
        <f t="shared" si="4"/>
        <v>0</v>
      </c>
    </row>
    <row r="14" spans="1:20" s="381" customFormat="1" ht="25.5" customHeight="1">
      <c r="A14" s="552" t="s">
        <v>46</v>
      </c>
      <c r="B14" s="553" t="s">
        <v>436</v>
      </c>
      <c r="C14" s="540">
        <f aca="true" t="shared" si="6" ref="C14:C32">D14+E14</f>
        <v>12</v>
      </c>
      <c r="D14" s="541">
        <v>2</v>
      </c>
      <c r="E14" s="540">
        <v>10</v>
      </c>
      <c r="F14" s="540">
        <v>0</v>
      </c>
      <c r="G14" s="540"/>
      <c r="H14" s="540">
        <f t="shared" si="5"/>
        <v>12</v>
      </c>
      <c r="I14" s="540">
        <f>SUM(J14:P14)</f>
        <v>12</v>
      </c>
      <c r="J14" s="540">
        <v>4</v>
      </c>
      <c r="K14" s="540">
        <v>0</v>
      </c>
      <c r="L14" s="540">
        <v>8</v>
      </c>
      <c r="M14" s="540"/>
      <c r="N14" s="540"/>
      <c r="O14" s="540"/>
      <c r="P14" s="540"/>
      <c r="Q14" s="540"/>
      <c r="R14" s="534">
        <f t="shared" si="2"/>
        <v>8</v>
      </c>
      <c r="S14" s="427">
        <f t="shared" si="3"/>
        <v>33.33333333333333</v>
      </c>
      <c r="T14" s="419">
        <f t="shared" si="4"/>
        <v>0</v>
      </c>
    </row>
    <row r="15" spans="1:20" s="381" customFormat="1" ht="25.5" customHeight="1">
      <c r="A15" s="552" t="s">
        <v>102</v>
      </c>
      <c r="B15" s="554" t="s">
        <v>434</v>
      </c>
      <c r="C15" s="540">
        <f t="shared" si="6"/>
        <v>23</v>
      </c>
      <c r="D15" s="541">
        <v>0</v>
      </c>
      <c r="E15" s="540">
        <f>15+8</f>
        <v>23</v>
      </c>
      <c r="F15" s="540">
        <v>0</v>
      </c>
      <c r="G15" s="540"/>
      <c r="H15" s="540">
        <f t="shared" si="5"/>
        <v>23</v>
      </c>
      <c r="I15" s="540">
        <f aca="true" t="shared" si="7" ref="I15:I32">SUM(J15:P15)</f>
        <v>23</v>
      </c>
      <c r="J15" s="540">
        <f>10+9</f>
        <v>19</v>
      </c>
      <c r="K15" s="540">
        <v>0</v>
      </c>
      <c r="L15" s="540">
        <f>5+8-9</f>
        <v>4</v>
      </c>
      <c r="M15" s="540"/>
      <c r="N15" s="540"/>
      <c r="O15" s="540"/>
      <c r="P15" s="540"/>
      <c r="Q15" s="540"/>
      <c r="R15" s="534">
        <f t="shared" si="2"/>
        <v>4</v>
      </c>
      <c r="S15" s="427">
        <f t="shared" si="3"/>
        <v>82.6086956521739</v>
      </c>
      <c r="T15" s="419">
        <f t="shared" si="4"/>
        <v>0</v>
      </c>
    </row>
    <row r="16" spans="1:20" s="381" customFormat="1" ht="25.5" customHeight="1">
      <c r="A16" s="555" t="s">
        <v>104</v>
      </c>
      <c r="B16" s="556" t="s">
        <v>523</v>
      </c>
      <c r="C16" s="540">
        <f t="shared" si="6"/>
        <v>19</v>
      </c>
      <c r="D16" s="541">
        <v>7</v>
      </c>
      <c r="E16" s="540">
        <f>6+6</f>
        <v>12</v>
      </c>
      <c r="F16" s="540">
        <v>0</v>
      </c>
      <c r="G16" s="540"/>
      <c r="H16" s="540">
        <f t="shared" si="5"/>
        <v>19</v>
      </c>
      <c r="I16" s="540">
        <f t="shared" si="7"/>
        <v>19</v>
      </c>
      <c r="J16" s="540">
        <f>6+6</f>
        <v>12</v>
      </c>
      <c r="K16" s="540">
        <v>0</v>
      </c>
      <c r="L16" s="540">
        <f>5+6-6</f>
        <v>5</v>
      </c>
      <c r="M16" s="540"/>
      <c r="N16" s="540">
        <v>2</v>
      </c>
      <c r="O16" s="540"/>
      <c r="P16" s="540"/>
      <c r="Q16" s="540"/>
      <c r="R16" s="534">
        <f t="shared" si="2"/>
        <v>7</v>
      </c>
      <c r="S16" s="427">
        <f t="shared" si="3"/>
        <v>63.1578947368421</v>
      </c>
      <c r="T16" s="419">
        <f t="shared" si="4"/>
        <v>0</v>
      </c>
    </row>
    <row r="17" spans="1:20" s="381" customFormat="1" ht="25.5" customHeight="1">
      <c r="A17" s="555" t="s">
        <v>105</v>
      </c>
      <c r="B17" s="554" t="s">
        <v>437</v>
      </c>
      <c r="C17" s="540">
        <f t="shared" si="6"/>
        <v>52</v>
      </c>
      <c r="D17" s="541">
        <v>15</v>
      </c>
      <c r="E17" s="540">
        <f>4+10+2+12+2+7</f>
        <v>37</v>
      </c>
      <c r="F17" s="540">
        <v>0</v>
      </c>
      <c r="G17" s="540"/>
      <c r="H17" s="540">
        <f t="shared" si="5"/>
        <v>52</v>
      </c>
      <c r="I17" s="540">
        <f t="shared" si="7"/>
        <v>49</v>
      </c>
      <c r="J17" s="540">
        <f>23+1+2</f>
        <v>26</v>
      </c>
      <c r="K17" s="540">
        <v>0</v>
      </c>
      <c r="L17" s="540">
        <f>17+2-1+7-2</f>
        <v>23</v>
      </c>
      <c r="M17" s="540"/>
      <c r="N17" s="540"/>
      <c r="O17" s="540"/>
      <c r="P17" s="540"/>
      <c r="Q17" s="540">
        <v>3</v>
      </c>
      <c r="R17" s="534">
        <f t="shared" si="2"/>
        <v>26</v>
      </c>
      <c r="S17" s="427">
        <f t="shared" si="3"/>
        <v>53.06122448979592</v>
      </c>
      <c r="T17" s="419">
        <f t="shared" si="4"/>
        <v>0</v>
      </c>
    </row>
    <row r="18" spans="1:20" s="381" customFormat="1" ht="25.5" customHeight="1">
      <c r="A18" s="555" t="s">
        <v>107</v>
      </c>
      <c r="B18" s="556" t="s">
        <v>438</v>
      </c>
      <c r="C18" s="540">
        <f t="shared" si="6"/>
        <v>13</v>
      </c>
      <c r="D18" s="541">
        <v>13</v>
      </c>
      <c r="E18" s="540">
        <v>0</v>
      </c>
      <c r="F18" s="540">
        <v>0</v>
      </c>
      <c r="G18" s="540"/>
      <c r="H18" s="540">
        <f t="shared" si="5"/>
        <v>13</v>
      </c>
      <c r="I18" s="540">
        <f t="shared" si="7"/>
        <v>8</v>
      </c>
      <c r="J18" s="540">
        <v>0</v>
      </c>
      <c r="K18" s="540">
        <v>0</v>
      </c>
      <c r="L18" s="542">
        <v>8</v>
      </c>
      <c r="M18" s="542"/>
      <c r="N18" s="543"/>
      <c r="O18" s="543"/>
      <c r="P18" s="543"/>
      <c r="Q18" s="543">
        <v>5</v>
      </c>
      <c r="R18" s="534">
        <f t="shared" si="2"/>
        <v>13</v>
      </c>
      <c r="S18" s="427">
        <f t="shared" si="3"/>
        <v>0</v>
      </c>
      <c r="T18" s="419">
        <f t="shared" si="4"/>
        <v>0</v>
      </c>
    </row>
    <row r="19" spans="1:20" s="381" customFormat="1" ht="25.5" customHeight="1">
      <c r="A19" s="555" t="s">
        <v>108</v>
      </c>
      <c r="B19" s="554" t="s">
        <v>439</v>
      </c>
      <c r="C19" s="540">
        <f t="shared" si="6"/>
        <v>52</v>
      </c>
      <c r="D19" s="541">
        <v>11</v>
      </c>
      <c r="E19" s="540">
        <f>27+14</f>
        <v>41</v>
      </c>
      <c r="F19" s="540">
        <v>0</v>
      </c>
      <c r="G19" s="543"/>
      <c r="H19" s="540">
        <f>I19+Q19</f>
        <v>52</v>
      </c>
      <c r="I19" s="540">
        <f t="shared" si="7"/>
        <v>50</v>
      </c>
      <c r="J19" s="540">
        <v>13</v>
      </c>
      <c r="K19" s="540">
        <v>0</v>
      </c>
      <c r="L19" s="543">
        <f>23+14</f>
        <v>37</v>
      </c>
      <c r="M19" s="543"/>
      <c r="N19" s="542"/>
      <c r="O19" s="543"/>
      <c r="P19" s="543"/>
      <c r="Q19" s="543">
        <v>2</v>
      </c>
      <c r="R19" s="534">
        <f t="shared" si="2"/>
        <v>39</v>
      </c>
      <c r="S19" s="427">
        <f t="shared" si="3"/>
        <v>26</v>
      </c>
      <c r="T19" s="419">
        <f t="shared" si="4"/>
        <v>0</v>
      </c>
    </row>
    <row r="20" spans="1:20" s="381" customFormat="1" ht="25.5" customHeight="1">
      <c r="A20" s="555" t="s">
        <v>115</v>
      </c>
      <c r="B20" s="556" t="s">
        <v>440</v>
      </c>
      <c r="C20" s="540">
        <f t="shared" si="6"/>
        <v>32</v>
      </c>
      <c r="D20" s="541">
        <v>6</v>
      </c>
      <c r="E20" s="540">
        <v>26</v>
      </c>
      <c r="F20" s="540">
        <v>0</v>
      </c>
      <c r="G20" s="543"/>
      <c r="H20" s="540">
        <f t="shared" si="5"/>
        <v>32</v>
      </c>
      <c r="I20" s="540">
        <f t="shared" si="7"/>
        <v>31</v>
      </c>
      <c r="J20" s="540">
        <v>16</v>
      </c>
      <c r="K20" s="540">
        <v>0</v>
      </c>
      <c r="L20" s="543">
        <v>15</v>
      </c>
      <c r="M20" s="543"/>
      <c r="N20" s="542"/>
      <c r="O20" s="543"/>
      <c r="P20" s="543"/>
      <c r="Q20" s="543">
        <v>1</v>
      </c>
      <c r="R20" s="534">
        <f t="shared" si="2"/>
        <v>16</v>
      </c>
      <c r="S20" s="427">
        <f t="shared" si="3"/>
        <v>51.61290322580645</v>
      </c>
      <c r="T20" s="419">
        <f t="shared" si="4"/>
        <v>0</v>
      </c>
    </row>
    <row r="21" spans="1:20" s="381" customFormat="1" ht="25.5" customHeight="1">
      <c r="A21" s="555" t="s">
        <v>425</v>
      </c>
      <c r="B21" s="556" t="s">
        <v>442</v>
      </c>
      <c r="C21" s="540">
        <f t="shared" si="6"/>
        <v>62</v>
      </c>
      <c r="D21" s="541">
        <v>19</v>
      </c>
      <c r="E21" s="540">
        <f>18+4+11+10</f>
        <v>43</v>
      </c>
      <c r="F21" s="540">
        <v>0</v>
      </c>
      <c r="G21" s="544"/>
      <c r="H21" s="540">
        <f t="shared" si="5"/>
        <v>62</v>
      </c>
      <c r="I21" s="540">
        <f t="shared" si="7"/>
        <v>62</v>
      </c>
      <c r="J21" s="540">
        <f>18+6</f>
        <v>24</v>
      </c>
      <c r="K21" s="540">
        <v>0</v>
      </c>
      <c r="L21" s="544">
        <v>38</v>
      </c>
      <c r="M21" s="544"/>
      <c r="N21" s="542"/>
      <c r="O21" s="544"/>
      <c r="P21" s="544"/>
      <c r="Q21" s="544"/>
      <c r="R21" s="534">
        <f t="shared" si="2"/>
        <v>38</v>
      </c>
      <c r="S21" s="427">
        <f t="shared" si="3"/>
        <v>38.70967741935484</v>
      </c>
      <c r="T21" s="419">
        <f t="shared" si="4"/>
        <v>0</v>
      </c>
    </row>
    <row r="22" spans="1:20" s="381" customFormat="1" ht="25.5" customHeight="1">
      <c r="A22" s="555" t="s">
        <v>441</v>
      </c>
      <c r="B22" s="556" t="s">
        <v>444</v>
      </c>
      <c r="C22" s="540">
        <f t="shared" si="6"/>
        <v>28</v>
      </c>
      <c r="D22" s="541">
        <v>11</v>
      </c>
      <c r="E22" s="540">
        <f>1+16</f>
        <v>17</v>
      </c>
      <c r="F22" s="540">
        <v>0</v>
      </c>
      <c r="G22" s="543"/>
      <c r="H22" s="540">
        <f t="shared" si="5"/>
        <v>28</v>
      </c>
      <c r="I22" s="540">
        <f t="shared" si="7"/>
        <v>28</v>
      </c>
      <c r="J22" s="540">
        <v>15</v>
      </c>
      <c r="K22" s="540">
        <v>0</v>
      </c>
      <c r="L22" s="543">
        <v>13</v>
      </c>
      <c r="M22" s="543"/>
      <c r="N22" s="542"/>
      <c r="O22" s="543"/>
      <c r="P22" s="543"/>
      <c r="Q22" s="543"/>
      <c r="R22" s="534">
        <f t="shared" si="2"/>
        <v>13</v>
      </c>
      <c r="S22" s="427">
        <f t="shared" si="3"/>
        <v>53.57142857142857</v>
      </c>
      <c r="T22" s="419">
        <f t="shared" si="4"/>
        <v>0</v>
      </c>
    </row>
    <row r="23" spans="1:20" s="381" customFormat="1" ht="25.5" customHeight="1">
      <c r="A23" s="555" t="s">
        <v>443</v>
      </c>
      <c r="B23" s="554" t="s">
        <v>536</v>
      </c>
      <c r="C23" s="540">
        <f t="shared" si="6"/>
        <v>46</v>
      </c>
      <c r="D23" s="541">
        <f>16-2</f>
        <v>14</v>
      </c>
      <c r="E23" s="540">
        <f>25+7</f>
        <v>32</v>
      </c>
      <c r="F23" s="540">
        <v>0</v>
      </c>
      <c r="G23" s="543"/>
      <c r="H23" s="540">
        <f t="shared" si="5"/>
        <v>46</v>
      </c>
      <c r="I23" s="540">
        <f t="shared" si="7"/>
        <v>42</v>
      </c>
      <c r="J23" s="540">
        <f>11+3</f>
        <v>14</v>
      </c>
      <c r="K23" s="540">
        <v>0</v>
      </c>
      <c r="L23" s="543">
        <f>24+7-3</f>
        <v>28</v>
      </c>
      <c r="M23" s="543"/>
      <c r="N23" s="542"/>
      <c r="O23" s="543"/>
      <c r="P23" s="543"/>
      <c r="Q23" s="543">
        <f>1+3</f>
        <v>4</v>
      </c>
      <c r="R23" s="534">
        <f t="shared" si="2"/>
        <v>32</v>
      </c>
      <c r="S23" s="427">
        <f t="shared" si="3"/>
        <v>33.33333333333333</v>
      </c>
      <c r="T23" s="419">
        <f t="shared" si="4"/>
        <v>0</v>
      </c>
    </row>
    <row r="24" spans="1:20" s="381" customFormat="1" ht="25.5" customHeight="1">
      <c r="A24" s="555" t="s">
        <v>445</v>
      </c>
      <c r="B24" s="556" t="s">
        <v>537</v>
      </c>
      <c r="C24" s="540">
        <f>D24+E24</f>
        <v>70</v>
      </c>
      <c r="D24" s="540">
        <v>28</v>
      </c>
      <c r="E24" s="540">
        <f>6+15+9+12</f>
        <v>42</v>
      </c>
      <c r="F24" s="540">
        <f>5+1</f>
        <v>6</v>
      </c>
      <c r="G24" s="540"/>
      <c r="H24" s="540">
        <f>I24+Q24</f>
        <v>64</v>
      </c>
      <c r="I24" s="540">
        <f>SUM(J24:P24)</f>
        <v>58</v>
      </c>
      <c r="J24" s="540">
        <f>30+3</f>
        <v>33</v>
      </c>
      <c r="K24" s="540">
        <v>0</v>
      </c>
      <c r="L24" s="542">
        <f>29-1-3</f>
        <v>25</v>
      </c>
      <c r="M24" s="542"/>
      <c r="N24" s="543"/>
      <c r="O24" s="543"/>
      <c r="P24" s="543"/>
      <c r="Q24" s="543">
        <v>6</v>
      </c>
      <c r="R24" s="534">
        <f t="shared" si="2"/>
        <v>31</v>
      </c>
      <c r="S24" s="427">
        <f t="shared" si="3"/>
        <v>56.896551724137936</v>
      </c>
      <c r="T24" s="419">
        <f t="shared" si="4"/>
        <v>0</v>
      </c>
    </row>
    <row r="25" spans="1:20" s="381" customFormat="1" ht="25.5" customHeight="1">
      <c r="A25" s="555" t="s">
        <v>446</v>
      </c>
      <c r="B25" s="554" t="s">
        <v>448</v>
      </c>
      <c r="C25" s="540">
        <f>D25+E25</f>
        <v>61</v>
      </c>
      <c r="D25" s="540">
        <v>19</v>
      </c>
      <c r="E25" s="540">
        <f>33+9</f>
        <v>42</v>
      </c>
      <c r="F25" s="540">
        <v>5</v>
      </c>
      <c r="G25" s="540"/>
      <c r="H25" s="540">
        <f>I25+Q25</f>
        <v>56</v>
      </c>
      <c r="I25" s="540">
        <f>SUM(J25:P25)</f>
        <v>52</v>
      </c>
      <c r="J25" s="540">
        <f>23+9</f>
        <v>32</v>
      </c>
      <c r="K25" s="540">
        <v>1</v>
      </c>
      <c r="L25" s="542">
        <f>19+9-9</f>
        <v>19</v>
      </c>
      <c r="M25" s="542"/>
      <c r="N25" s="543">
        <v>0</v>
      </c>
      <c r="O25" s="543"/>
      <c r="P25" s="543"/>
      <c r="Q25" s="543">
        <v>4</v>
      </c>
      <c r="R25" s="534">
        <f t="shared" si="2"/>
        <v>23</v>
      </c>
      <c r="S25" s="427">
        <f t="shared" si="3"/>
        <v>63.46153846153846</v>
      </c>
      <c r="T25" s="419">
        <f t="shared" si="4"/>
        <v>0</v>
      </c>
    </row>
    <row r="26" spans="1:20" s="381" customFormat="1" ht="25.5" customHeight="1">
      <c r="A26" s="555" t="s">
        <v>447</v>
      </c>
      <c r="B26" s="556" t="s">
        <v>450</v>
      </c>
      <c r="C26" s="540">
        <f t="shared" si="6"/>
        <v>36</v>
      </c>
      <c r="D26" s="541">
        <v>5</v>
      </c>
      <c r="E26" s="540">
        <f>14+10+7</f>
        <v>31</v>
      </c>
      <c r="F26" s="540">
        <v>1</v>
      </c>
      <c r="G26" s="543"/>
      <c r="H26" s="540">
        <f t="shared" si="5"/>
        <v>35</v>
      </c>
      <c r="I26" s="540">
        <f t="shared" si="7"/>
        <v>32</v>
      </c>
      <c r="J26" s="540">
        <v>18</v>
      </c>
      <c r="K26" s="540">
        <v>0</v>
      </c>
      <c r="L26" s="543">
        <v>14</v>
      </c>
      <c r="M26" s="543">
        <v>0</v>
      </c>
      <c r="N26" s="542"/>
      <c r="O26" s="543"/>
      <c r="P26" s="543"/>
      <c r="Q26" s="543">
        <v>3</v>
      </c>
      <c r="R26" s="534">
        <f t="shared" si="2"/>
        <v>17</v>
      </c>
      <c r="S26" s="427">
        <f t="shared" si="3"/>
        <v>56.25</v>
      </c>
      <c r="T26" s="419">
        <f t="shared" si="4"/>
        <v>0</v>
      </c>
    </row>
    <row r="27" spans="1:20" s="381" customFormat="1" ht="25.5" customHeight="1">
      <c r="A27" s="555" t="s">
        <v>449</v>
      </c>
      <c r="B27" s="554" t="s">
        <v>452</v>
      </c>
      <c r="C27" s="540">
        <f t="shared" si="6"/>
        <v>60</v>
      </c>
      <c r="D27" s="541">
        <v>19</v>
      </c>
      <c r="E27" s="540">
        <f>25+6+10</f>
        <v>41</v>
      </c>
      <c r="F27" s="540">
        <v>0</v>
      </c>
      <c r="G27" s="545"/>
      <c r="H27" s="540">
        <f t="shared" si="5"/>
        <v>60</v>
      </c>
      <c r="I27" s="540">
        <f t="shared" si="7"/>
        <v>58</v>
      </c>
      <c r="J27" s="540">
        <v>15</v>
      </c>
      <c r="K27" s="540">
        <v>0</v>
      </c>
      <c r="L27" s="542">
        <f>34+10-1</f>
        <v>43</v>
      </c>
      <c r="M27" s="542"/>
      <c r="N27" s="542"/>
      <c r="O27" s="543"/>
      <c r="P27" s="543"/>
      <c r="Q27" s="543">
        <f>1+1</f>
        <v>2</v>
      </c>
      <c r="R27" s="534">
        <f t="shared" si="2"/>
        <v>45</v>
      </c>
      <c r="S27" s="427">
        <f t="shared" si="3"/>
        <v>25.862068965517242</v>
      </c>
      <c r="T27" s="419">
        <f t="shared" si="4"/>
        <v>0</v>
      </c>
    </row>
    <row r="28" spans="1:20" s="381" customFormat="1" ht="25.5" customHeight="1">
      <c r="A28" s="555" t="s">
        <v>451</v>
      </c>
      <c r="B28" s="554" t="s">
        <v>454</v>
      </c>
      <c r="C28" s="540">
        <f t="shared" si="6"/>
        <v>51</v>
      </c>
      <c r="D28" s="540">
        <v>8</v>
      </c>
      <c r="E28" s="540">
        <f>35+8</f>
        <v>43</v>
      </c>
      <c r="F28" s="540">
        <v>1</v>
      </c>
      <c r="G28" s="540"/>
      <c r="H28" s="540">
        <f t="shared" si="5"/>
        <v>50</v>
      </c>
      <c r="I28" s="540">
        <f t="shared" si="7"/>
        <v>46</v>
      </c>
      <c r="J28" s="540">
        <f>14+14+1</f>
        <v>29</v>
      </c>
      <c r="K28" s="540">
        <v>0</v>
      </c>
      <c r="L28" s="542">
        <f>25+8-14-1-1</f>
        <v>17</v>
      </c>
      <c r="M28" s="542"/>
      <c r="N28" s="542"/>
      <c r="O28" s="543"/>
      <c r="P28" s="543"/>
      <c r="Q28" s="543">
        <v>4</v>
      </c>
      <c r="R28" s="534">
        <f t="shared" si="2"/>
        <v>21</v>
      </c>
      <c r="S28" s="427">
        <f t="shared" si="3"/>
        <v>63.04347826086957</v>
      </c>
      <c r="T28" s="419">
        <f t="shared" si="4"/>
        <v>0</v>
      </c>
    </row>
    <row r="29" spans="1:20" s="381" customFormat="1" ht="25.5" customHeight="1">
      <c r="A29" s="555" t="s">
        <v>453</v>
      </c>
      <c r="B29" s="556" t="s">
        <v>544</v>
      </c>
      <c r="C29" s="540">
        <f t="shared" si="6"/>
        <v>27</v>
      </c>
      <c r="D29" s="540">
        <v>6</v>
      </c>
      <c r="E29" s="540">
        <v>21</v>
      </c>
      <c r="F29" s="540">
        <v>0</v>
      </c>
      <c r="G29" s="540">
        <v>0</v>
      </c>
      <c r="H29" s="540">
        <f t="shared" si="5"/>
        <v>27</v>
      </c>
      <c r="I29" s="540">
        <f t="shared" si="7"/>
        <v>26</v>
      </c>
      <c r="J29" s="540">
        <v>19</v>
      </c>
      <c r="K29" s="540">
        <v>0</v>
      </c>
      <c r="L29" s="542">
        <v>7</v>
      </c>
      <c r="M29" s="542"/>
      <c r="N29" s="542"/>
      <c r="O29" s="543"/>
      <c r="P29" s="543"/>
      <c r="Q29" s="543">
        <v>1</v>
      </c>
      <c r="R29" s="534">
        <f t="shared" si="2"/>
        <v>8</v>
      </c>
      <c r="S29" s="427">
        <f t="shared" si="3"/>
        <v>73.07692307692307</v>
      </c>
      <c r="T29" s="419">
        <f t="shared" si="4"/>
        <v>0</v>
      </c>
    </row>
    <row r="30" spans="1:20" s="381" customFormat="1" ht="25.5" customHeight="1">
      <c r="A30" s="555" t="s">
        <v>553</v>
      </c>
      <c r="B30" s="554" t="s">
        <v>538</v>
      </c>
      <c r="C30" s="540">
        <f t="shared" si="6"/>
        <v>37</v>
      </c>
      <c r="D30" s="540">
        <v>9</v>
      </c>
      <c r="E30" s="540">
        <f>28</f>
        <v>28</v>
      </c>
      <c r="F30" s="540">
        <v>4</v>
      </c>
      <c r="G30" s="540"/>
      <c r="H30" s="540">
        <f t="shared" si="5"/>
        <v>33</v>
      </c>
      <c r="I30" s="540">
        <f t="shared" si="7"/>
        <v>27</v>
      </c>
      <c r="J30" s="540">
        <f>24</f>
        <v>24</v>
      </c>
      <c r="K30" s="540">
        <v>0</v>
      </c>
      <c r="L30" s="542">
        <v>3</v>
      </c>
      <c r="M30" s="542"/>
      <c r="N30" s="542"/>
      <c r="O30" s="543"/>
      <c r="P30" s="543"/>
      <c r="Q30" s="543">
        <v>6</v>
      </c>
      <c r="R30" s="534">
        <f t="shared" si="2"/>
        <v>9</v>
      </c>
      <c r="S30" s="427">
        <f t="shared" si="3"/>
        <v>88.88888888888889</v>
      </c>
      <c r="T30" s="419">
        <f t="shared" si="4"/>
        <v>0</v>
      </c>
    </row>
    <row r="31" spans="1:20" s="381" customFormat="1" ht="25.5" customHeight="1">
      <c r="A31" s="555" t="s">
        <v>555</v>
      </c>
      <c r="B31" s="556" t="s">
        <v>556</v>
      </c>
      <c r="C31" s="540">
        <f>D31+E31</f>
        <v>26</v>
      </c>
      <c r="D31" s="540">
        <v>0</v>
      </c>
      <c r="E31" s="540">
        <v>26</v>
      </c>
      <c r="F31" s="540">
        <v>5</v>
      </c>
      <c r="G31" s="540">
        <v>0</v>
      </c>
      <c r="H31" s="540">
        <f>I31+Q31</f>
        <v>21</v>
      </c>
      <c r="I31" s="540">
        <f>SUM(J31:P31)</f>
        <v>21</v>
      </c>
      <c r="J31" s="540">
        <f>12+5</f>
        <v>17</v>
      </c>
      <c r="K31" s="540">
        <v>0</v>
      </c>
      <c r="L31" s="542">
        <f>9-5</f>
        <v>4</v>
      </c>
      <c r="M31" s="542">
        <v>0</v>
      </c>
      <c r="N31" s="542">
        <v>0</v>
      </c>
      <c r="O31" s="543">
        <v>0</v>
      </c>
      <c r="P31" s="543">
        <v>0</v>
      </c>
      <c r="Q31" s="543">
        <v>0</v>
      </c>
      <c r="R31" s="534">
        <f t="shared" si="2"/>
        <v>4</v>
      </c>
      <c r="S31" s="427">
        <f t="shared" si="3"/>
        <v>80.95238095238095</v>
      </c>
      <c r="T31" s="419">
        <f t="shared" si="4"/>
        <v>0</v>
      </c>
    </row>
    <row r="32" spans="1:20" s="381" customFormat="1" ht="25.5" customHeight="1">
      <c r="A32" s="555" t="s">
        <v>616</v>
      </c>
      <c r="B32" s="556" t="s">
        <v>615</v>
      </c>
      <c r="C32" s="540">
        <f t="shared" si="6"/>
        <v>14</v>
      </c>
      <c r="D32" s="540">
        <v>0</v>
      </c>
      <c r="E32" s="540">
        <v>14</v>
      </c>
      <c r="F32" s="540">
        <v>0</v>
      </c>
      <c r="G32" s="540">
        <v>0</v>
      </c>
      <c r="H32" s="540">
        <f t="shared" si="5"/>
        <v>14</v>
      </c>
      <c r="I32" s="540">
        <f t="shared" si="7"/>
        <v>14</v>
      </c>
      <c r="J32" s="540">
        <v>0</v>
      </c>
      <c r="K32" s="540">
        <v>0</v>
      </c>
      <c r="L32" s="542">
        <v>14</v>
      </c>
      <c r="M32" s="542">
        <v>0</v>
      </c>
      <c r="N32" s="542">
        <v>0</v>
      </c>
      <c r="O32" s="543">
        <v>0</v>
      </c>
      <c r="P32" s="543">
        <v>0</v>
      </c>
      <c r="Q32" s="543">
        <v>0</v>
      </c>
      <c r="R32" s="534">
        <f t="shared" si="2"/>
        <v>14</v>
      </c>
      <c r="S32" s="427">
        <f t="shared" si="3"/>
        <v>0</v>
      </c>
      <c r="T32" s="419"/>
    </row>
    <row r="33" spans="1:20" s="407" customFormat="1" ht="25.5" customHeight="1">
      <c r="A33" s="578" t="s">
        <v>1</v>
      </c>
      <c r="B33" s="579" t="s">
        <v>455</v>
      </c>
      <c r="C33" s="577">
        <f aca="true" t="shared" si="8" ref="C33:Q33">C34+C45+C41+C49+C51+C61+C67+C76+C80+C84+C92+C96+C99+C113+C119</f>
        <v>13762</v>
      </c>
      <c r="D33" s="577">
        <f t="shared" si="8"/>
        <v>7904</v>
      </c>
      <c r="E33" s="577">
        <f t="shared" si="8"/>
        <v>5858</v>
      </c>
      <c r="F33" s="577">
        <f t="shared" si="8"/>
        <v>99</v>
      </c>
      <c r="G33" s="577">
        <f t="shared" si="8"/>
        <v>4</v>
      </c>
      <c r="H33" s="577">
        <f t="shared" si="8"/>
        <v>13663</v>
      </c>
      <c r="I33" s="577">
        <f t="shared" si="8"/>
        <v>8009</v>
      </c>
      <c r="J33" s="577">
        <f t="shared" si="8"/>
        <v>4480</v>
      </c>
      <c r="K33" s="577">
        <f t="shared" si="8"/>
        <v>118</v>
      </c>
      <c r="L33" s="577">
        <f t="shared" si="8"/>
        <v>3396</v>
      </c>
      <c r="M33" s="577">
        <f t="shared" si="8"/>
        <v>5</v>
      </c>
      <c r="N33" s="577">
        <f t="shared" si="8"/>
        <v>0</v>
      </c>
      <c r="O33" s="577">
        <f t="shared" si="8"/>
        <v>0</v>
      </c>
      <c r="P33" s="577">
        <f t="shared" si="8"/>
        <v>10</v>
      </c>
      <c r="Q33" s="577">
        <f t="shared" si="8"/>
        <v>5654</v>
      </c>
      <c r="R33" s="572">
        <f t="shared" si="2"/>
        <v>9065</v>
      </c>
      <c r="S33" s="573">
        <f t="shared" si="3"/>
        <v>57.41041328505432</v>
      </c>
      <c r="T33" s="574">
        <f t="shared" si="4"/>
        <v>0</v>
      </c>
    </row>
    <row r="34" spans="1:20" s="407" customFormat="1" ht="25.5" customHeight="1">
      <c r="A34" s="578">
        <v>1</v>
      </c>
      <c r="B34" s="580" t="s">
        <v>456</v>
      </c>
      <c r="C34" s="577">
        <f>SUM(C35:C40)</f>
        <v>1139</v>
      </c>
      <c r="D34" s="577">
        <f aca="true" t="shared" si="9" ref="D34:Q34">SUM(D35:D40)</f>
        <v>627</v>
      </c>
      <c r="E34" s="577">
        <f t="shared" si="9"/>
        <v>512</v>
      </c>
      <c r="F34" s="577">
        <f t="shared" si="9"/>
        <v>7</v>
      </c>
      <c r="G34" s="577">
        <f t="shared" si="9"/>
        <v>2</v>
      </c>
      <c r="H34" s="577">
        <f t="shared" si="9"/>
        <v>1132</v>
      </c>
      <c r="I34" s="577">
        <f t="shared" si="9"/>
        <v>699</v>
      </c>
      <c r="J34" s="577">
        <f t="shared" si="9"/>
        <v>415</v>
      </c>
      <c r="K34" s="577">
        <f t="shared" si="9"/>
        <v>1</v>
      </c>
      <c r="L34" s="577">
        <f t="shared" si="9"/>
        <v>283</v>
      </c>
      <c r="M34" s="577">
        <f t="shared" si="9"/>
        <v>0</v>
      </c>
      <c r="N34" s="577">
        <f t="shared" si="9"/>
        <v>0</v>
      </c>
      <c r="O34" s="577">
        <f t="shared" si="9"/>
        <v>0</v>
      </c>
      <c r="P34" s="577">
        <f t="shared" si="9"/>
        <v>0</v>
      </c>
      <c r="Q34" s="577">
        <f t="shared" si="9"/>
        <v>433</v>
      </c>
      <c r="R34" s="572">
        <f t="shared" si="2"/>
        <v>716</v>
      </c>
      <c r="S34" s="573">
        <f t="shared" si="3"/>
        <v>59.513590844062946</v>
      </c>
      <c r="T34" s="574">
        <f t="shared" si="4"/>
        <v>0</v>
      </c>
    </row>
    <row r="35" spans="1:20" s="407" customFormat="1" ht="25.5" customHeight="1">
      <c r="A35" s="557">
        <v>1.1</v>
      </c>
      <c r="B35" s="560" t="s">
        <v>557</v>
      </c>
      <c r="C35" s="530">
        <f aca="true" t="shared" si="10" ref="C35:C40">SUM(E35+D35)</f>
        <v>148</v>
      </c>
      <c r="D35" s="546">
        <v>75</v>
      </c>
      <c r="E35" s="546">
        <v>73</v>
      </c>
      <c r="F35" s="546">
        <v>0</v>
      </c>
      <c r="G35" s="546">
        <v>0</v>
      </c>
      <c r="H35" s="530">
        <f aca="true" t="shared" si="11" ref="H35:H40">SUM(Q35+I35)</f>
        <v>148</v>
      </c>
      <c r="I35" s="530">
        <f aca="true" t="shared" si="12" ref="I35:I40">SUM(K35+L35+M35+N35+O35+P35+J35)</f>
        <v>108</v>
      </c>
      <c r="J35" s="546">
        <v>64</v>
      </c>
      <c r="K35" s="546">
        <v>0</v>
      </c>
      <c r="L35" s="546">
        <v>44</v>
      </c>
      <c r="M35" s="546">
        <v>0</v>
      </c>
      <c r="N35" s="546">
        <v>0</v>
      </c>
      <c r="O35" s="546">
        <v>0</v>
      </c>
      <c r="P35" s="546">
        <v>0</v>
      </c>
      <c r="Q35" s="546">
        <v>40</v>
      </c>
      <c r="R35" s="534">
        <f t="shared" si="2"/>
        <v>84</v>
      </c>
      <c r="S35" s="427">
        <f t="shared" si="3"/>
        <v>59.25925925925925</v>
      </c>
      <c r="T35" s="419">
        <f t="shared" si="4"/>
        <v>0</v>
      </c>
    </row>
    <row r="36" spans="1:20" s="407" customFormat="1" ht="25.5" customHeight="1">
      <c r="A36" s="557">
        <v>1.2</v>
      </c>
      <c r="B36" s="560" t="s">
        <v>539</v>
      </c>
      <c r="C36" s="530">
        <f t="shared" si="10"/>
        <v>214</v>
      </c>
      <c r="D36" s="546">
        <v>111</v>
      </c>
      <c r="E36" s="546">
        <v>103</v>
      </c>
      <c r="F36" s="546">
        <v>2</v>
      </c>
      <c r="G36" s="546">
        <v>2</v>
      </c>
      <c r="H36" s="530">
        <f t="shared" si="11"/>
        <v>212</v>
      </c>
      <c r="I36" s="530">
        <f t="shared" si="12"/>
        <v>133</v>
      </c>
      <c r="J36" s="546">
        <v>75</v>
      </c>
      <c r="K36" s="546">
        <v>1</v>
      </c>
      <c r="L36" s="546">
        <v>57</v>
      </c>
      <c r="M36" s="546">
        <v>0</v>
      </c>
      <c r="N36" s="546">
        <v>0</v>
      </c>
      <c r="O36" s="546">
        <v>0</v>
      </c>
      <c r="P36" s="546">
        <v>0</v>
      </c>
      <c r="Q36" s="546">
        <v>79</v>
      </c>
      <c r="R36" s="534">
        <f t="shared" si="2"/>
        <v>136</v>
      </c>
      <c r="S36" s="427">
        <f t="shared" si="3"/>
        <v>57.14285714285714</v>
      </c>
      <c r="T36" s="419">
        <f t="shared" si="4"/>
        <v>0</v>
      </c>
    </row>
    <row r="37" spans="1:20" s="407" customFormat="1" ht="25.5" customHeight="1">
      <c r="A37" s="557">
        <v>1.3</v>
      </c>
      <c r="B37" s="560" t="s">
        <v>457</v>
      </c>
      <c r="C37" s="530">
        <f t="shared" si="10"/>
        <v>144</v>
      </c>
      <c r="D37" s="546">
        <v>78</v>
      </c>
      <c r="E37" s="546">
        <v>66</v>
      </c>
      <c r="F37" s="546">
        <v>0</v>
      </c>
      <c r="G37" s="546">
        <v>0</v>
      </c>
      <c r="H37" s="530">
        <f t="shared" si="11"/>
        <v>144</v>
      </c>
      <c r="I37" s="530">
        <f t="shared" si="12"/>
        <v>92</v>
      </c>
      <c r="J37" s="546">
        <v>56</v>
      </c>
      <c r="K37" s="546">
        <v>0</v>
      </c>
      <c r="L37" s="546">
        <v>36</v>
      </c>
      <c r="M37" s="546">
        <v>0</v>
      </c>
      <c r="N37" s="546">
        <v>0</v>
      </c>
      <c r="O37" s="546">
        <v>0</v>
      </c>
      <c r="P37" s="546">
        <v>0</v>
      </c>
      <c r="Q37" s="546">
        <v>52</v>
      </c>
      <c r="R37" s="534">
        <f t="shared" si="2"/>
        <v>88</v>
      </c>
      <c r="S37" s="427">
        <f t="shared" si="3"/>
        <v>60.86956521739131</v>
      </c>
      <c r="T37" s="419">
        <f t="shared" si="4"/>
        <v>0</v>
      </c>
    </row>
    <row r="38" spans="1:20" s="407" customFormat="1" ht="25.5" customHeight="1">
      <c r="A38" s="557">
        <v>1.4</v>
      </c>
      <c r="B38" s="560" t="s">
        <v>540</v>
      </c>
      <c r="C38" s="530">
        <f t="shared" si="10"/>
        <v>229</v>
      </c>
      <c r="D38" s="546">
        <v>126</v>
      </c>
      <c r="E38" s="546">
        <v>103</v>
      </c>
      <c r="F38" s="546">
        <v>1</v>
      </c>
      <c r="G38" s="546">
        <v>0</v>
      </c>
      <c r="H38" s="530">
        <f t="shared" si="11"/>
        <v>228</v>
      </c>
      <c r="I38" s="530">
        <f t="shared" si="12"/>
        <v>129</v>
      </c>
      <c r="J38" s="546">
        <v>81</v>
      </c>
      <c r="K38" s="546">
        <v>0</v>
      </c>
      <c r="L38" s="546">
        <v>48</v>
      </c>
      <c r="M38" s="546">
        <v>0</v>
      </c>
      <c r="N38" s="546">
        <v>0</v>
      </c>
      <c r="O38" s="546">
        <v>0</v>
      </c>
      <c r="P38" s="546">
        <v>0</v>
      </c>
      <c r="Q38" s="546">
        <v>99</v>
      </c>
      <c r="R38" s="534">
        <f t="shared" si="2"/>
        <v>147</v>
      </c>
      <c r="S38" s="427">
        <f t="shared" si="3"/>
        <v>62.7906976744186</v>
      </c>
      <c r="T38" s="419">
        <f t="shared" si="4"/>
        <v>0</v>
      </c>
    </row>
    <row r="39" spans="1:20" s="407" customFormat="1" ht="25.5" customHeight="1">
      <c r="A39" s="557">
        <v>1.5</v>
      </c>
      <c r="B39" s="560" t="s">
        <v>511</v>
      </c>
      <c r="C39" s="530">
        <f t="shared" si="10"/>
        <v>204</v>
      </c>
      <c r="D39" s="546">
        <v>114</v>
      </c>
      <c r="E39" s="546">
        <v>90</v>
      </c>
      <c r="F39" s="546">
        <v>1</v>
      </c>
      <c r="G39" s="546">
        <v>0</v>
      </c>
      <c r="H39" s="530">
        <f t="shared" si="11"/>
        <v>203</v>
      </c>
      <c r="I39" s="530">
        <f t="shared" si="12"/>
        <v>118</v>
      </c>
      <c r="J39" s="546">
        <v>76</v>
      </c>
      <c r="K39" s="546">
        <v>0</v>
      </c>
      <c r="L39" s="546">
        <v>42</v>
      </c>
      <c r="M39" s="546">
        <v>0</v>
      </c>
      <c r="N39" s="546">
        <v>0</v>
      </c>
      <c r="O39" s="546">
        <v>0</v>
      </c>
      <c r="P39" s="546">
        <v>0</v>
      </c>
      <c r="Q39" s="546">
        <v>85</v>
      </c>
      <c r="R39" s="534">
        <f t="shared" si="2"/>
        <v>127</v>
      </c>
      <c r="S39" s="427">
        <f t="shared" si="3"/>
        <v>64.40677966101694</v>
      </c>
      <c r="T39" s="419">
        <f t="shared" si="4"/>
        <v>0</v>
      </c>
    </row>
    <row r="40" spans="1:20" s="407" customFormat="1" ht="25.5" customHeight="1">
      <c r="A40" s="557">
        <v>1.6</v>
      </c>
      <c r="B40" s="560" t="s">
        <v>558</v>
      </c>
      <c r="C40" s="530">
        <f t="shared" si="10"/>
        <v>200</v>
      </c>
      <c r="D40" s="546">
        <v>123</v>
      </c>
      <c r="E40" s="546">
        <v>77</v>
      </c>
      <c r="F40" s="546">
        <v>3</v>
      </c>
      <c r="G40" s="546"/>
      <c r="H40" s="530">
        <f t="shared" si="11"/>
        <v>197</v>
      </c>
      <c r="I40" s="530">
        <f t="shared" si="12"/>
        <v>119</v>
      </c>
      <c r="J40" s="546">
        <v>63</v>
      </c>
      <c r="K40" s="546">
        <v>0</v>
      </c>
      <c r="L40" s="546">
        <v>56</v>
      </c>
      <c r="M40" s="546">
        <v>0</v>
      </c>
      <c r="N40" s="546">
        <v>0</v>
      </c>
      <c r="O40" s="546">
        <v>0</v>
      </c>
      <c r="P40" s="546">
        <v>0</v>
      </c>
      <c r="Q40" s="546">
        <v>78</v>
      </c>
      <c r="R40" s="534">
        <f t="shared" si="2"/>
        <v>134</v>
      </c>
      <c r="S40" s="427">
        <f t="shared" si="3"/>
        <v>52.94117647058824</v>
      </c>
      <c r="T40" s="419">
        <f t="shared" si="4"/>
        <v>0</v>
      </c>
    </row>
    <row r="41" spans="1:20" s="407" customFormat="1" ht="25.5" customHeight="1">
      <c r="A41" s="578">
        <v>2</v>
      </c>
      <c r="B41" s="580" t="s">
        <v>458</v>
      </c>
      <c r="C41" s="581">
        <f aca="true" t="shared" si="13" ref="C41:Q41">SUM(C42:C44)</f>
        <v>500</v>
      </c>
      <c r="D41" s="581">
        <f t="shared" si="13"/>
        <v>175</v>
      </c>
      <c r="E41" s="581">
        <f t="shared" si="13"/>
        <v>325</v>
      </c>
      <c r="F41" s="581">
        <f t="shared" si="13"/>
        <v>2</v>
      </c>
      <c r="G41" s="581">
        <f t="shared" si="13"/>
        <v>0</v>
      </c>
      <c r="H41" s="581">
        <f t="shared" si="13"/>
        <v>498</v>
      </c>
      <c r="I41" s="581">
        <f t="shared" si="13"/>
        <v>357</v>
      </c>
      <c r="J41" s="581">
        <f t="shared" si="13"/>
        <v>252</v>
      </c>
      <c r="K41" s="581">
        <f t="shared" si="13"/>
        <v>7</v>
      </c>
      <c r="L41" s="581">
        <f t="shared" si="13"/>
        <v>96</v>
      </c>
      <c r="M41" s="581">
        <f t="shared" si="13"/>
        <v>0</v>
      </c>
      <c r="N41" s="581">
        <f t="shared" si="13"/>
        <v>0</v>
      </c>
      <c r="O41" s="581">
        <f t="shared" si="13"/>
        <v>0</v>
      </c>
      <c r="P41" s="581">
        <f t="shared" si="13"/>
        <v>2</v>
      </c>
      <c r="Q41" s="581">
        <f t="shared" si="13"/>
        <v>141</v>
      </c>
      <c r="R41" s="572">
        <f t="shared" si="2"/>
        <v>239</v>
      </c>
      <c r="S41" s="573">
        <f t="shared" si="3"/>
        <v>72.54901960784314</v>
      </c>
      <c r="T41" s="574">
        <f t="shared" si="4"/>
        <v>0</v>
      </c>
    </row>
    <row r="42" spans="1:20" s="407" customFormat="1" ht="25.5" customHeight="1">
      <c r="A42" s="557">
        <v>2.1</v>
      </c>
      <c r="B42" s="561" t="s">
        <v>459</v>
      </c>
      <c r="C42" s="546">
        <f>D42+E42</f>
        <v>114</v>
      </c>
      <c r="D42" s="546">
        <v>11</v>
      </c>
      <c r="E42" s="546">
        <v>103</v>
      </c>
      <c r="F42" s="546">
        <f>C42-H42</f>
        <v>0</v>
      </c>
      <c r="G42" s="546"/>
      <c r="H42" s="546">
        <f>I42+Q42</f>
        <v>114</v>
      </c>
      <c r="I42" s="546">
        <f>J42+K42+L42+M42+N42+O42+P42</f>
        <v>103</v>
      </c>
      <c r="J42" s="546">
        <v>100</v>
      </c>
      <c r="K42" s="546">
        <v>0</v>
      </c>
      <c r="L42" s="546">
        <v>3</v>
      </c>
      <c r="M42" s="546"/>
      <c r="N42" s="546"/>
      <c r="O42" s="546"/>
      <c r="P42" s="522"/>
      <c r="Q42" s="532">
        <v>11</v>
      </c>
      <c r="R42" s="534">
        <f t="shared" si="2"/>
        <v>14</v>
      </c>
      <c r="S42" s="427">
        <f t="shared" si="3"/>
        <v>97.0873786407767</v>
      </c>
      <c r="T42" s="419">
        <f t="shared" si="4"/>
        <v>0</v>
      </c>
    </row>
    <row r="43" spans="1:20" s="407" customFormat="1" ht="25.5" customHeight="1">
      <c r="A43" s="557">
        <v>2.2</v>
      </c>
      <c r="B43" s="561" t="s">
        <v>460</v>
      </c>
      <c r="C43" s="546">
        <f>D43+E43</f>
        <v>198</v>
      </c>
      <c r="D43" s="546">
        <v>78</v>
      </c>
      <c r="E43" s="546">
        <v>120</v>
      </c>
      <c r="F43" s="546">
        <f>C43-H43</f>
        <v>2</v>
      </c>
      <c r="G43" s="546"/>
      <c r="H43" s="546">
        <f>I43+Q43</f>
        <v>196</v>
      </c>
      <c r="I43" s="546">
        <f>J43+K43+L43+M43+N43+O43+P43</f>
        <v>134</v>
      </c>
      <c r="J43" s="546">
        <v>87</v>
      </c>
      <c r="K43" s="546">
        <v>1</v>
      </c>
      <c r="L43" s="546">
        <v>46</v>
      </c>
      <c r="M43" s="546"/>
      <c r="N43" s="546"/>
      <c r="O43" s="546"/>
      <c r="P43" s="522">
        <v>0</v>
      </c>
      <c r="Q43" s="532">
        <v>62</v>
      </c>
      <c r="R43" s="534">
        <f t="shared" si="2"/>
        <v>108</v>
      </c>
      <c r="S43" s="427">
        <f t="shared" si="3"/>
        <v>65.67164179104478</v>
      </c>
      <c r="T43" s="419">
        <f t="shared" si="4"/>
        <v>0</v>
      </c>
    </row>
    <row r="44" spans="1:20" s="407" customFormat="1" ht="25.5" customHeight="1">
      <c r="A44" s="557">
        <v>2.3</v>
      </c>
      <c r="B44" s="561" t="s">
        <v>461</v>
      </c>
      <c r="C44" s="546">
        <f>D44+E44</f>
        <v>188</v>
      </c>
      <c r="D44" s="546">
        <v>86</v>
      </c>
      <c r="E44" s="546">
        <v>102</v>
      </c>
      <c r="F44" s="546">
        <f>C44-H44</f>
        <v>0</v>
      </c>
      <c r="G44" s="546"/>
      <c r="H44" s="546">
        <f>I44+Q44</f>
        <v>188</v>
      </c>
      <c r="I44" s="546">
        <f>J44+K44+L44+M44+N44+O44+P44</f>
        <v>120</v>
      </c>
      <c r="J44" s="546">
        <v>65</v>
      </c>
      <c r="K44" s="546">
        <v>6</v>
      </c>
      <c r="L44" s="546">
        <v>47</v>
      </c>
      <c r="M44" s="546"/>
      <c r="N44" s="546">
        <v>0</v>
      </c>
      <c r="O44" s="546"/>
      <c r="P44" s="522">
        <v>2</v>
      </c>
      <c r="Q44" s="532">
        <v>68</v>
      </c>
      <c r="R44" s="534">
        <f t="shared" si="2"/>
        <v>117</v>
      </c>
      <c r="S44" s="427">
        <f t="shared" si="3"/>
        <v>59.166666666666664</v>
      </c>
      <c r="T44" s="419">
        <f t="shared" si="4"/>
        <v>0</v>
      </c>
    </row>
    <row r="45" spans="1:20" s="407" customFormat="1" ht="25.5" customHeight="1">
      <c r="A45" s="578">
        <v>3</v>
      </c>
      <c r="B45" s="580" t="s">
        <v>463</v>
      </c>
      <c r="C45" s="581">
        <f>SUM(C46:C48)</f>
        <v>271</v>
      </c>
      <c r="D45" s="581">
        <f aca="true" t="shared" si="14" ref="D45:Q45">SUM(D46:D48)</f>
        <v>132</v>
      </c>
      <c r="E45" s="581">
        <f t="shared" si="14"/>
        <v>139</v>
      </c>
      <c r="F45" s="581">
        <f t="shared" si="14"/>
        <v>5</v>
      </c>
      <c r="G45" s="581">
        <f t="shared" si="14"/>
        <v>0</v>
      </c>
      <c r="H45" s="581">
        <f t="shared" si="14"/>
        <v>266</v>
      </c>
      <c r="I45" s="581">
        <f t="shared" si="14"/>
        <v>203</v>
      </c>
      <c r="J45" s="581">
        <f t="shared" si="14"/>
        <v>125</v>
      </c>
      <c r="K45" s="581">
        <f t="shared" si="14"/>
        <v>1</v>
      </c>
      <c r="L45" s="581">
        <f t="shared" si="14"/>
        <v>76</v>
      </c>
      <c r="M45" s="581">
        <f t="shared" si="14"/>
        <v>0</v>
      </c>
      <c r="N45" s="581">
        <f t="shared" si="14"/>
        <v>0</v>
      </c>
      <c r="O45" s="581">
        <f t="shared" si="14"/>
        <v>0</v>
      </c>
      <c r="P45" s="581">
        <f t="shared" si="14"/>
        <v>1</v>
      </c>
      <c r="Q45" s="581">
        <f t="shared" si="14"/>
        <v>63</v>
      </c>
      <c r="R45" s="572">
        <f t="shared" si="2"/>
        <v>140</v>
      </c>
      <c r="S45" s="573">
        <f t="shared" si="3"/>
        <v>62.06896551724138</v>
      </c>
      <c r="T45" s="574">
        <f t="shared" si="4"/>
        <v>0</v>
      </c>
    </row>
    <row r="46" spans="1:20" s="407" customFormat="1" ht="25.5" customHeight="1">
      <c r="A46" s="557">
        <v>3.1</v>
      </c>
      <c r="B46" s="558" t="s">
        <v>464</v>
      </c>
      <c r="C46" s="546">
        <f>D46+E46</f>
        <v>70</v>
      </c>
      <c r="D46" s="546">
        <v>14</v>
      </c>
      <c r="E46" s="546">
        <v>56</v>
      </c>
      <c r="F46" s="546">
        <v>3</v>
      </c>
      <c r="G46" s="546">
        <v>0</v>
      </c>
      <c r="H46" s="546">
        <f>I46+Q46</f>
        <v>67</v>
      </c>
      <c r="I46" s="546">
        <f>SUM(J46:P46)</f>
        <v>63</v>
      </c>
      <c r="J46" s="546">
        <v>54</v>
      </c>
      <c r="K46" s="546">
        <v>1</v>
      </c>
      <c r="L46" s="546">
        <v>7</v>
      </c>
      <c r="M46" s="546">
        <v>0</v>
      </c>
      <c r="N46" s="546">
        <v>0</v>
      </c>
      <c r="O46" s="546">
        <v>0</v>
      </c>
      <c r="P46" s="522">
        <v>1</v>
      </c>
      <c r="Q46" s="532">
        <v>4</v>
      </c>
      <c r="R46" s="534">
        <f t="shared" si="2"/>
        <v>12</v>
      </c>
      <c r="S46" s="427">
        <f t="shared" si="3"/>
        <v>87.3015873015873</v>
      </c>
      <c r="T46" s="419">
        <f t="shared" si="4"/>
        <v>0</v>
      </c>
    </row>
    <row r="47" spans="1:20" s="407" customFormat="1" ht="25.5" customHeight="1">
      <c r="A47" s="557">
        <v>3.2</v>
      </c>
      <c r="B47" s="558" t="s">
        <v>465</v>
      </c>
      <c r="C47" s="546">
        <f>D47+E47</f>
        <v>113</v>
      </c>
      <c r="D47" s="546">
        <v>54</v>
      </c>
      <c r="E47" s="546">
        <v>59</v>
      </c>
      <c r="F47" s="546">
        <v>2</v>
      </c>
      <c r="G47" s="546">
        <v>0</v>
      </c>
      <c r="H47" s="546">
        <f>I47+Q47</f>
        <v>111</v>
      </c>
      <c r="I47" s="546">
        <f>SUM(J47:P47)</f>
        <v>79</v>
      </c>
      <c r="J47" s="546">
        <v>51</v>
      </c>
      <c r="K47" s="546">
        <v>0</v>
      </c>
      <c r="L47" s="546">
        <v>28</v>
      </c>
      <c r="M47" s="546">
        <v>0</v>
      </c>
      <c r="N47" s="546">
        <v>0</v>
      </c>
      <c r="O47" s="546">
        <v>0</v>
      </c>
      <c r="P47" s="522">
        <v>0</v>
      </c>
      <c r="Q47" s="532">
        <v>32</v>
      </c>
      <c r="R47" s="534">
        <f t="shared" si="2"/>
        <v>60</v>
      </c>
      <c r="S47" s="427">
        <f t="shared" si="3"/>
        <v>64.55696202531645</v>
      </c>
      <c r="T47" s="419">
        <f t="shared" si="4"/>
        <v>0</v>
      </c>
    </row>
    <row r="48" spans="1:20" s="407" customFormat="1" ht="25.5" customHeight="1">
      <c r="A48" s="557">
        <v>3.3</v>
      </c>
      <c r="B48" s="558" t="s">
        <v>466</v>
      </c>
      <c r="C48" s="546">
        <f>D48+E48</f>
        <v>88</v>
      </c>
      <c r="D48" s="546">
        <v>64</v>
      </c>
      <c r="E48" s="546">
        <v>24</v>
      </c>
      <c r="F48" s="546">
        <v>0</v>
      </c>
      <c r="G48" s="546">
        <v>0</v>
      </c>
      <c r="H48" s="546">
        <f>I48+Q48</f>
        <v>88</v>
      </c>
      <c r="I48" s="546">
        <f>SUM(J48:P48)</f>
        <v>61</v>
      </c>
      <c r="J48" s="546">
        <v>20</v>
      </c>
      <c r="K48" s="546">
        <v>0</v>
      </c>
      <c r="L48" s="546">
        <v>41</v>
      </c>
      <c r="M48" s="546">
        <v>0</v>
      </c>
      <c r="N48" s="546">
        <v>0</v>
      </c>
      <c r="O48" s="546">
        <v>0</v>
      </c>
      <c r="P48" s="522">
        <v>0</v>
      </c>
      <c r="Q48" s="532">
        <v>27</v>
      </c>
      <c r="R48" s="534">
        <f t="shared" si="2"/>
        <v>68</v>
      </c>
      <c r="S48" s="427">
        <f t="shared" si="3"/>
        <v>32.78688524590164</v>
      </c>
      <c r="T48" s="419">
        <f t="shared" si="4"/>
        <v>0</v>
      </c>
    </row>
    <row r="49" spans="1:20" s="407" customFormat="1" ht="25.5" customHeight="1">
      <c r="A49" s="578">
        <v>4</v>
      </c>
      <c r="B49" s="580" t="s">
        <v>467</v>
      </c>
      <c r="C49" s="581">
        <f>C50</f>
        <v>4</v>
      </c>
      <c r="D49" s="581">
        <f aca="true" t="shared" si="15" ref="D49:Q49">D50</f>
        <v>0</v>
      </c>
      <c r="E49" s="581">
        <f t="shared" si="15"/>
        <v>4</v>
      </c>
      <c r="F49" s="581">
        <f t="shared" si="15"/>
        <v>0</v>
      </c>
      <c r="G49" s="581">
        <f t="shared" si="15"/>
        <v>0</v>
      </c>
      <c r="H49" s="581">
        <f t="shared" si="15"/>
        <v>4</v>
      </c>
      <c r="I49" s="581">
        <f t="shared" si="15"/>
        <v>4</v>
      </c>
      <c r="J49" s="581">
        <f t="shared" si="15"/>
        <v>4</v>
      </c>
      <c r="K49" s="581">
        <f t="shared" si="15"/>
        <v>0</v>
      </c>
      <c r="L49" s="581">
        <f t="shared" si="15"/>
        <v>0</v>
      </c>
      <c r="M49" s="581">
        <f t="shared" si="15"/>
        <v>0</v>
      </c>
      <c r="N49" s="581">
        <f t="shared" si="15"/>
        <v>0</v>
      </c>
      <c r="O49" s="581">
        <f t="shared" si="15"/>
        <v>0</v>
      </c>
      <c r="P49" s="581">
        <f t="shared" si="15"/>
        <v>0</v>
      </c>
      <c r="Q49" s="581">
        <f t="shared" si="15"/>
        <v>0</v>
      </c>
      <c r="R49" s="572">
        <f t="shared" si="2"/>
        <v>0</v>
      </c>
      <c r="S49" s="573">
        <f t="shared" si="3"/>
        <v>100</v>
      </c>
      <c r="T49" s="574">
        <f t="shared" si="4"/>
        <v>0</v>
      </c>
    </row>
    <row r="50" spans="1:20" s="407" customFormat="1" ht="25.5" customHeight="1">
      <c r="A50" s="557" t="s">
        <v>111</v>
      </c>
      <c r="B50" s="559" t="s">
        <v>468</v>
      </c>
      <c r="C50" s="521">
        <f>D50+E50</f>
        <v>4</v>
      </c>
      <c r="D50" s="521"/>
      <c r="E50" s="521">
        <v>4</v>
      </c>
      <c r="F50" s="521"/>
      <c r="G50" s="521"/>
      <c r="H50" s="521">
        <f>I50+Q50</f>
        <v>4</v>
      </c>
      <c r="I50" s="521">
        <f>SUM(J50:P50)</f>
        <v>4</v>
      </c>
      <c r="J50" s="521">
        <v>4</v>
      </c>
      <c r="K50" s="521"/>
      <c r="L50" s="523"/>
      <c r="M50" s="523"/>
      <c r="N50" s="523"/>
      <c r="O50" s="524"/>
      <c r="P50" s="524"/>
      <c r="Q50" s="524"/>
      <c r="R50" s="534">
        <f t="shared" si="2"/>
        <v>0</v>
      </c>
      <c r="S50" s="427">
        <f t="shared" si="3"/>
        <v>100</v>
      </c>
      <c r="T50" s="419">
        <f t="shared" si="4"/>
        <v>0</v>
      </c>
    </row>
    <row r="51" spans="1:20" s="407" customFormat="1" ht="25.5" customHeight="1">
      <c r="A51" s="578">
        <v>5</v>
      </c>
      <c r="B51" s="580" t="s">
        <v>469</v>
      </c>
      <c r="C51" s="582">
        <f>SUM(C52:C60)</f>
        <v>2615</v>
      </c>
      <c r="D51" s="582">
        <f aca="true" t="shared" si="16" ref="D51:Q51">SUM(D52:D60)</f>
        <v>1884</v>
      </c>
      <c r="E51" s="582">
        <f t="shared" si="16"/>
        <v>731</v>
      </c>
      <c r="F51" s="582">
        <f t="shared" si="16"/>
        <v>24</v>
      </c>
      <c r="G51" s="582">
        <f t="shared" si="16"/>
        <v>0</v>
      </c>
      <c r="H51" s="582">
        <f t="shared" si="16"/>
        <v>2591</v>
      </c>
      <c r="I51" s="582">
        <f t="shared" si="16"/>
        <v>1107</v>
      </c>
      <c r="J51" s="582">
        <f t="shared" si="16"/>
        <v>584</v>
      </c>
      <c r="K51" s="582">
        <f t="shared" si="16"/>
        <v>10</v>
      </c>
      <c r="L51" s="582">
        <f t="shared" si="16"/>
        <v>512</v>
      </c>
      <c r="M51" s="582">
        <f t="shared" si="16"/>
        <v>0</v>
      </c>
      <c r="N51" s="582">
        <f t="shared" si="16"/>
        <v>0</v>
      </c>
      <c r="O51" s="582">
        <f t="shared" si="16"/>
        <v>0</v>
      </c>
      <c r="P51" s="582">
        <f t="shared" si="16"/>
        <v>1</v>
      </c>
      <c r="Q51" s="582">
        <f t="shared" si="16"/>
        <v>1484</v>
      </c>
      <c r="R51" s="572">
        <f t="shared" si="2"/>
        <v>1997</v>
      </c>
      <c r="S51" s="573">
        <f t="shared" si="3"/>
        <v>53.65853658536586</v>
      </c>
      <c r="T51" s="574">
        <f t="shared" si="4"/>
        <v>0</v>
      </c>
    </row>
    <row r="52" spans="1:20" s="407" customFormat="1" ht="25.5" customHeight="1">
      <c r="A52" s="562" t="s">
        <v>112</v>
      </c>
      <c r="B52" s="566" t="s">
        <v>470</v>
      </c>
      <c r="C52" s="547">
        <f>D52+E52</f>
        <v>139</v>
      </c>
      <c r="D52" s="547">
        <v>96</v>
      </c>
      <c r="E52" s="547">
        <v>43</v>
      </c>
      <c r="F52" s="547">
        <v>0</v>
      </c>
      <c r="G52" s="547">
        <v>0</v>
      </c>
      <c r="H52" s="547">
        <v>139</v>
      </c>
      <c r="I52" s="547">
        <v>56</v>
      </c>
      <c r="J52" s="547">
        <v>41</v>
      </c>
      <c r="K52" s="547">
        <v>0</v>
      </c>
      <c r="L52" s="548">
        <v>15</v>
      </c>
      <c r="M52" s="547">
        <v>0</v>
      </c>
      <c r="N52" s="547">
        <v>0</v>
      </c>
      <c r="O52" s="547">
        <v>0</v>
      </c>
      <c r="P52" s="547">
        <v>0</v>
      </c>
      <c r="Q52" s="549">
        <v>83</v>
      </c>
      <c r="R52" s="534">
        <f t="shared" si="2"/>
        <v>98</v>
      </c>
      <c r="S52" s="427">
        <f t="shared" si="3"/>
        <v>73.21428571428571</v>
      </c>
      <c r="T52" s="419">
        <f t="shared" si="4"/>
        <v>0</v>
      </c>
    </row>
    <row r="53" spans="1:20" s="407" customFormat="1" ht="25.5" customHeight="1">
      <c r="A53" s="562" t="s">
        <v>113</v>
      </c>
      <c r="B53" s="566" t="s">
        <v>471</v>
      </c>
      <c r="C53" s="547">
        <f aca="true" t="shared" si="17" ref="C53:C60">D53+E53</f>
        <v>182</v>
      </c>
      <c r="D53" s="547">
        <v>108</v>
      </c>
      <c r="E53" s="547">
        <v>74</v>
      </c>
      <c r="F53" s="547">
        <v>2</v>
      </c>
      <c r="G53" s="547">
        <v>0</v>
      </c>
      <c r="H53" s="547">
        <f>C53-F53-G53</f>
        <v>180</v>
      </c>
      <c r="I53" s="547">
        <f>J53+K53+L53+M53+N53+O53+P53</f>
        <v>116</v>
      </c>
      <c r="J53" s="547">
        <v>55</v>
      </c>
      <c r="K53" s="547">
        <v>1</v>
      </c>
      <c r="L53" s="548">
        <f>65-6</f>
        <v>59</v>
      </c>
      <c r="M53" s="547">
        <v>0</v>
      </c>
      <c r="N53" s="547">
        <v>0</v>
      </c>
      <c r="O53" s="547">
        <v>0</v>
      </c>
      <c r="P53" s="547">
        <v>1</v>
      </c>
      <c r="Q53" s="549">
        <f>H53-I53</f>
        <v>64</v>
      </c>
      <c r="R53" s="534">
        <f t="shared" si="2"/>
        <v>124</v>
      </c>
      <c r="S53" s="427">
        <f t="shared" si="3"/>
        <v>48.275862068965516</v>
      </c>
      <c r="T53" s="419">
        <f t="shared" si="4"/>
        <v>0</v>
      </c>
    </row>
    <row r="54" spans="1:20" s="407" customFormat="1" ht="25.5" customHeight="1">
      <c r="A54" s="562" t="s">
        <v>114</v>
      </c>
      <c r="B54" s="566" t="s">
        <v>610</v>
      </c>
      <c r="C54" s="547">
        <f t="shared" si="17"/>
        <v>207</v>
      </c>
      <c r="D54" s="547">
        <v>159</v>
      </c>
      <c r="E54" s="547">
        <v>48</v>
      </c>
      <c r="F54" s="547">
        <v>3</v>
      </c>
      <c r="G54" s="547">
        <v>0</v>
      </c>
      <c r="H54" s="547">
        <v>204</v>
      </c>
      <c r="I54" s="547">
        <v>69</v>
      </c>
      <c r="J54" s="547">
        <v>30</v>
      </c>
      <c r="K54" s="547">
        <v>0</v>
      </c>
      <c r="L54" s="548">
        <v>39</v>
      </c>
      <c r="M54" s="547">
        <v>0</v>
      </c>
      <c r="N54" s="547">
        <v>0</v>
      </c>
      <c r="O54" s="547">
        <v>0</v>
      </c>
      <c r="P54" s="547">
        <v>0</v>
      </c>
      <c r="Q54" s="549">
        <v>135</v>
      </c>
      <c r="R54" s="534">
        <f t="shared" si="2"/>
        <v>174</v>
      </c>
      <c r="S54" s="427">
        <f t="shared" si="3"/>
        <v>43.47826086956522</v>
      </c>
      <c r="T54" s="419">
        <f t="shared" si="4"/>
        <v>0</v>
      </c>
    </row>
    <row r="55" spans="1:20" s="407" customFormat="1" ht="25.5" customHeight="1">
      <c r="A55" s="562" t="s">
        <v>473</v>
      </c>
      <c r="B55" s="566" t="s">
        <v>474</v>
      </c>
      <c r="C55" s="547">
        <f t="shared" si="17"/>
        <v>288</v>
      </c>
      <c r="D55" s="547">
        <v>171</v>
      </c>
      <c r="E55" s="547">
        <v>117</v>
      </c>
      <c r="F55" s="547">
        <v>7</v>
      </c>
      <c r="G55" s="547">
        <v>0</v>
      </c>
      <c r="H55" s="547">
        <v>281</v>
      </c>
      <c r="I55" s="547">
        <v>160</v>
      </c>
      <c r="J55" s="547">
        <v>104</v>
      </c>
      <c r="K55" s="547">
        <v>1</v>
      </c>
      <c r="L55" s="548">
        <v>55</v>
      </c>
      <c r="M55" s="547">
        <v>0</v>
      </c>
      <c r="N55" s="547">
        <v>0</v>
      </c>
      <c r="O55" s="547">
        <v>0</v>
      </c>
      <c r="P55" s="547">
        <v>0</v>
      </c>
      <c r="Q55" s="549">
        <v>121</v>
      </c>
      <c r="R55" s="534">
        <f t="shared" si="2"/>
        <v>176</v>
      </c>
      <c r="S55" s="427">
        <f t="shared" si="3"/>
        <v>65.625</v>
      </c>
      <c r="T55" s="419">
        <f t="shared" si="4"/>
        <v>0</v>
      </c>
    </row>
    <row r="56" spans="1:20" s="407" customFormat="1" ht="25.5" customHeight="1">
      <c r="A56" s="562" t="s">
        <v>475</v>
      </c>
      <c r="B56" s="566" t="s">
        <v>541</v>
      </c>
      <c r="C56" s="547">
        <f t="shared" si="17"/>
        <v>357</v>
      </c>
      <c r="D56" s="547">
        <v>260</v>
      </c>
      <c r="E56" s="547">
        <v>97</v>
      </c>
      <c r="F56" s="547">
        <v>6</v>
      </c>
      <c r="G56" s="547">
        <v>0</v>
      </c>
      <c r="H56" s="547">
        <v>351</v>
      </c>
      <c r="I56" s="547">
        <v>163</v>
      </c>
      <c r="J56" s="547">
        <v>87</v>
      </c>
      <c r="K56" s="547">
        <v>8</v>
      </c>
      <c r="L56" s="548">
        <v>68</v>
      </c>
      <c r="M56" s="547">
        <v>0</v>
      </c>
      <c r="N56" s="547">
        <v>0</v>
      </c>
      <c r="O56" s="547">
        <v>0</v>
      </c>
      <c r="P56" s="547">
        <v>0</v>
      </c>
      <c r="Q56" s="549">
        <v>188</v>
      </c>
      <c r="R56" s="534">
        <f t="shared" si="2"/>
        <v>256</v>
      </c>
      <c r="S56" s="427">
        <f t="shared" si="3"/>
        <v>58.282208588957054</v>
      </c>
      <c r="T56" s="419">
        <f t="shared" si="4"/>
        <v>0</v>
      </c>
    </row>
    <row r="57" spans="1:20" s="407" customFormat="1" ht="23.25" customHeight="1">
      <c r="A57" s="562" t="s">
        <v>477</v>
      </c>
      <c r="B57" s="566" t="s">
        <v>611</v>
      </c>
      <c r="C57" s="547">
        <f t="shared" si="17"/>
        <v>508</v>
      </c>
      <c r="D57" s="547">
        <v>401</v>
      </c>
      <c r="E57" s="547">
        <v>107</v>
      </c>
      <c r="F57" s="547">
        <v>0</v>
      </c>
      <c r="G57" s="547">
        <v>0</v>
      </c>
      <c r="H57" s="547">
        <v>508</v>
      </c>
      <c r="I57" s="547">
        <v>159</v>
      </c>
      <c r="J57" s="547">
        <v>88</v>
      </c>
      <c r="K57" s="547">
        <v>0</v>
      </c>
      <c r="L57" s="548">
        <v>71</v>
      </c>
      <c r="M57" s="547">
        <v>0</v>
      </c>
      <c r="N57" s="547">
        <v>0</v>
      </c>
      <c r="O57" s="547">
        <v>0</v>
      </c>
      <c r="P57" s="547">
        <v>0</v>
      </c>
      <c r="Q57" s="549">
        <v>349</v>
      </c>
      <c r="R57" s="534">
        <f t="shared" si="2"/>
        <v>420</v>
      </c>
      <c r="S57" s="427">
        <f t="shared" si="3"/>
        <v>55.34591194968554</v>
      </c>
      <c r="T57" s="419">
        <f t="shared" si="4"/>
        <v>0</v>
      </c>
    </row>
    <row r="58" spans="1:20" s="407" customFormat="1" ht="23.25" customHeight="1">
      <c r="A58" s="562" t="s">
        <v>478</v>
      </c>
      <c r="B58" s="566" t="s">
        <v>476</v>
      </c>
      <c r="C58" s="547">
        <f t="shared" si="17"/>
        <v>105</v>
      </c>
      <c r="D58" s="547">
        <v>75</v>
      </c>
      <c r="E58" s="547">
        <v>30</v>
      </c>
      <c r="F58" s="547">
        <v>0</v>
      </c>
      <c r="G58" s="547">
        <v>0</v>
      </c>
      <c r="H58" s="547">
        <v>105</v>
      </c>
      <c r="I58" s="547">
        <v>58</v>
      </c>
      <c r="J58" s="547">
        <v>26</v>
      </c>
      <c r="K58" s="547">
        <v>0</v>
      </c>
      <c r="L58" s="548">
        <v>32</v>
      </c>
      <c r="M58" s="547">
        <v>0</v>
      </c>
      <c r="N58" s="547">
        <v>0</v>
      </c>
      <c r="O58" s="547">
        <v>0</v>
      </c>
      <c r="P58" s="547">
        <v>0</v>
      </c>
      <c r="Q58" s="549">
        <v>47</v>
      </c>
      <c r="R58" s="534">
        <f t="shared" si="2"/>
        <v>79</v>
      </c>
      <c r="S58" s="427">
        <f t="shared" si="3"/>
        <v>44.827586206896555</v>
      </c>
      <c r="T58" s="419">
        <f t="shared" si="4"/>
        <v>0</v>
      </c>
    </row>
    <row r="59" spans="1:20" s="407" customFormat="1" ht="23.25" customHeight="1">
      <c r="A59" s="562" t="s">
        <v>613</v>
      </c>
      <c r="B59" s="566" t="s">
        <v>612</v>
      </c>
      <c r="C59" s="547">
        <f t="shared" si="17"/>
        <v>346</v>
      </c>
      <c r="D59" s="547">
        <v>264</v>
      </c>
      <c r="E59" s="547">
        <v>82</v>
      </c>
      <c r="F59" s="547">
        <v>2</v>
      </c>
      <c r="G59" s="547">
        <v>0</v>
      </c>
      <c r="H59" s="547">
        <v>344</v>
      </c>
      <c r="I59" s="547">
        <v>130</v>
      </c>
      <c r="J59" s="547">
        <v>52</v>
      </c>
      <c r="K59" s="547">
        <v>0</v>
      </c>
      <c r="L59" s="548">
        <v>78</v>
      </c>
      <c r="M59" s="547">
        <v>0</v>
      </c>
      <c r="N59" s="547">
        <v>0</v>
      </c>
      <c r="O59" s="547">
        <v>0</v>
      </c>
      <c r="P59" s="547">
        <v>0</v>
      </c>
      <c r="Q59" s="549">
        <v>214</v>
      </c>
      <c r="R59" s="534">
        <f t="shared" si="2"/>
        <v>292</v>
      </c>
      <c r="S59" s="427">
        <f t="shared" si="3"/>
        <v>40</v>
      </c>
      <c r="T59" s="419"/>
    </row>
    <row r="60" spans="1:20" s="407" customFormat="1" ht="23.25" customHeight="1">
      <c r="A60" s="562" t="s">
        <v>614</v>
      </c>
      <c r="B60" s="566" t="s">
        <v>479</v>
      </c>
      <c r="C60" s="547">
        <f t="shared" si="17"/>
        <v>483</v>
      </c>
      <c r="D60" s="547">
        <v>350</v>
      </c>
      <c r="E60" s="547">
        <v>133</v>
      </c>
      <c r="F60" s="547">
        <v>4</v>
      </c>
      <c r="G60" s="547">
        <v>0</v>
      </c>
      <c r="H60" s="547">
        <v>479</v>
      </c>
      <c r="I60" s="547">
        <v>196</v>
      </c>
      <c r="J60" s="547">
        <v>101</v>
      </c>
      <c r="K60" s="547">
        <v>0</v>
      </c>
      <c r="L60" s="548">
        <v>95</v>
      </c>
      <c r="M60" s="547">
        <v>0</v>
      </c>
      <c r="N60" s="547">
        <v>0</v>
      </c>
      <c r="O60" s="547">
        <v>0</v>
      </c>
      <c r="P60" s="547">
        <v>0</v>
      </c>
      <c r="Q60" s="549">
        <v>283</v>
      </c>
      <c r="R60" s="534">
        <f t="shared" si="2"/>
        <v>378</v>
      </c>
      <c r="S60" s="427">
        <f t="shared" si="3"/>
        <v>51.53061224489795</v>
      </c>
      <c r="T60" s="419"/>
    </row>
    <row r="61" spans="1:20" s="407" customFormat="1" ht="23.25" customHeight="1">
      <c r="A61" s="578">
        <v>6</v>
      </c>
      <c r="B61" s="580" t="s">
        <v>480</v>
      </c>
      <c r="C61" s="581">
        <f>SUM(C62:C66)</f>
        <v>741</v>
      </c>
      <c r="D61" s="581">
        <f aca="true" t="shared" si="18" ref="D61:Q61">SUM(D62:D66)</f>
        <v>357</v>
      </c>
      <c r="E61" s="581">
        <f t="shared" si="18"/>
        <v>384</v>
      </c>
      <c r="F61" s="581">
        <f t="shared" si="18"/>
        <v>14</v>
      </c>
      <c r="G61" s="581">
        <f t="shared" si="18"/>
        <v>0</v>
      </c>
      <c r="H61" s="581">
        <f t="shared" si="18"/>
        <v>727</v>
      </c>
      <c r="I61" s="581">
        <f t="shared" si="18"/>
        <v>447</v>
      </c>
      <c r="J61" s="581">
        <f t="shared" si="18"/>
        <v>298</v>
      </c>
      <c r="K61" s="581">
        <f t="shared" si="18"/>
        <v>9</v>
      </c>
      <c r="L61" s="581">
        <f t="shared" si="18"/>
        <v>139</v>
      </c>
      <c r="M61" s="581">
        <f t="shared" si="18"/>
        <v>1</v>
      </c>
      <c r="N61" s="581">
        <f t="shared" si="18"/>
        <v>0</v>
      </c>
      <c r="O61" s="581">
        <f t="shared" si="18"/>
        <v>0</v>
      </c>
      <c r="P61" s="581">
        <f t="shared" si="18"/>
        <v>0</v>
      </c>
      <c r="Q61" s="581">
        <f t="shared" si="18"/>
        <v>280</v>
      </c>
      <c r="R61" s="572">
        <f t="shared" si="2"/>
        <v>420</v>
      </c>
      <c r="S61" s="573">
        <f t="shared" si="3"/>
        <v>68.68008948545862</v>
      </c>
      <c r="T61" s="574">
        <f t="shared" si="4"/>
        <v>0</v>
      </c>
    </row>
    <row r="62" spans="1:20" s="407" customFormat="1" ht="23.25" customHeight="1">
      <c r="A62" s="557">
        <v>6.1</v>
      </c>
      <c r="B62" s="567" t="s">
        <v>583</v>
      </c>
      <c r="C62" s="525">
        <v>109</v>
      </c>
      <c r="D62" s="525">
        <v>35</v>
      </c>
      <c r="E62" s="525">
        <v>74</v>
      </c>
      <c r="F62" s="525">
        <v>5</v>
      </c>
      <c r="G62" s="550"/>
      <c r="H62" s="525">
        <v>104</v>
      </c>
      <c r="I62" s="525">
        <v>93</v>
      </c>
      <c r="J62" s="525">
        <v>59</v>
      </c>
      <c r="K62" s="525">
        <v>2</v>
      </c>
      <c r="L62" s="525">
        <v>32</v>
      </c>
      <c r="M62" s="525"/>
      <c r="N62" s="525"/>
      <c r="O62" s="525"/>
      <c r="P62" s="525"/>
      <c r="Q62" s="525">
        <v>11</v>
      </c>
      <c r="R62" s="534">
        <f t="shared" si="2"/>
        <v>43</v>
      </c>
      <c r="S62" s="427">
        <f t="shared" si="3"/>
        <v>65.59139784946237</v>
      </c>
      <c r="T62" s="419">
        <f t="shared" si="4"/>
        <v>0</v>
      </c>
    </row>
    <row r="63" spans="1:20" s="407" customFormat="1" ht="23.25" customHeight="1">
      <c r="A63" s="557">
        <v>6.2</v>
      </c>
      <c r="B63" s="567" t="s">
        <v>584</v>
      </c>
      <c r="C63" s="525">
        <v>97</v>
      </c>
      <c r="D63" s="525">
        <v>58</v>
      </c>
      <c r="E63" s="525">
        <v>39</v>
      </c>
      <c r="F63" s="525">
        <v>4</v>
      </c>
      <c r="G63" s="525"/>
      <c r="H63" s="525">
        <v>93</v>
      </c>
      <c r="I63" s="525">
        <v>44</v>
      </c>
      <c r="J63" s="525">
        <v>32</v>
      </c>
      <c r="K63" s="525">
        <v>1</v>
      </c>
      <c r="L63" s="525">
        <v>11</v>
      </c>
      <c r="M63" s="525"/>
      <c r="N63" s="525"/>
      <c r="O63" s="525"/>
      <c r="P63" s="525"/>
      <c r="Q63" s="525">
        <v>49</v>
      </c>
      <c r="R63" s="534">
        <f t="shared" si="2"/>
        <v>60</v>
      </c>
      <c r="S63" s="427">
        <f t="shared" si="3"/>
        <v>75</v>
      </c>
      <c r="T63" s="419">
        <f t="shared" si="4"/>
        <v>0</v>
      </c>
    </row>
    <row r="64" spans="1:20" s="407" customFormat="1" ht="23.25" customHeight="1">
      <c r="A64" s="557">
        <v>6.3</v>
      </c>
      <c r="B64" s="567" t="s">
        <v>481</v>
      </c>
      <c r="C64" s="525">
        <v>224</v>
      </c>
      <c r="D64" s="525">
        <v>110</v>
      </c>
      <c r="E64" s="525">
        <v>114</v>
      </c>
      <c r="F64" s="525">
        <v>2</v>
      </c>
      <c r="G64" s="525"/>
      <c r="H64" s="525">
        <v>222</v>
      </c>
      <c r="I64" s="525">
        <v>135</v>
      </c>
      <c r="J64" s="525">
        <v>79</v>
      </c>
      <c r="K64" s="525">
        <v>2</v>
      </c>
      <c r="L64" s="525">
        <v>53</v>
      </c>
      <c r="M64" s="525">
        <v>1</v>
      </c>
      <c r="N64" s="525"/>
      <c r="O64" s="525"/>
      <c r="P64" s="525"/>
      <c r="Q64" s="525">
        <v>87</v>
      </c>
      <c r="R64" s="534">
        <f t="shared" si="2"/>
        <v>141</v>
      </c>
      <c r="S64" s="427">
        <f t="shared" si="3"/>
        <v>60</v>
      </c>
      <c r="T64" s="419">
        <f t="shared" si="4"/>
        <v>0</v>
      </c>
    </row>
    <row r="65" spans="1:20" s="407" customFormat="1" ht="23.25" customHeight="1">
      <c r="A65" s="557">
        <v>6.4</v>
      </c>
      <c r="B65" s="568" t="s">
        <v>585</v>
      </c>
      <c r="C65" s="525">
        <v>165</v>
      </c>
      <c r="D65" s="525">
        <v>81</v>
      </c>
      <c r="E65" s="525">
        <v>84</v>
      </c>
      <c r="F65" s="525">
        <v>1</v>
      </c>
      <c r="G65" s="525"/>
      <c r="H65" s="525">
        <v>164</v>
      </c>
      <c r="I65" s="525">
        <v>100</v>
      </c>
      <c r="J65" s="525">
        <v>70</v>
      </c>
      <c r="K65" s="525">
        <v>2</v>
      </c>
      <c r="L65" s="525">
        <v>28</v>
      </c>
      <c r="M65" s="525"/>
      <c r="N65" s="525"/>
      <c r="O65" s="525"/>
      <c r="P65" s="525"/>
      <c r="Q65" s="525">
        <v>64</v>
      </c>
      <c r="R65" s="534">
        <f t="shared" si="2"/>
        <v>92</v>
      </c>
      <c r="S65" s="427">
        <f t="shared" si="3"/>
        <v>72</v>
      </c>
      <c r="T65" s="419">
        <f t="shared" si="4"/>
        <v>0</v>
      </c>
    </row>
    <row r="66" spans="1:20" s="407" customFormat="1" ht="23.25" customHeight="1">
      <c r="A66" s="557">
        <v>6.5</v>
      </c>
      <c r="B66" s="568" t="s">
        <v>586</v>
      </c>
      <c r="C66" s="525">
        <v>146</v>
      </c>
      <c r="D66" s="525">
        <v>73</v>
      </c>
      <c r="E66" s="525">
        <v>73</v>
      </c>
      <c r="F66" s="525">
        <v>2</v>
      </c>
      <c r="G66" s="525"/>
      <c r="H66" s="525">
        <v>144</v>
      </c>
      <c r="I66" s="525">
        <v>75</v>
      </c>
      <c r="J66" s="525">
        <v>58</v>
      </c>
      <c r="K66" s="525">
        <v>2</v>
      </c>
      <c r="L66" s="525">
        <v>15</v>
      </c>
      <c r="M66" s="525"/>
      <c r="N66" s="525"/>
      <c r="O66" s="525"/>
      <c r="P66" s="525"/>
      <c r="Q66" s="525">
        <v>69</v>
      </c>
      <c r="R66" s="534">
        <f t="shared" si="2"/>
        <v>84</v>
      </c>
      <c r="S66" s="427">
        <f t="shared" si="3"/>
        <v>80</v>
      </c>
      <c r="T66" s="419">
        <f t="shared" si="4"/>
        <v>0</v>
      </c>
    </row>
    <row r="67" spans="1:20" s="407" customFormat="1" ht="23.25" customHeight="1">
      <c r="A67" s="578">
        <v>7</v>
      </c>
      <c r="B67" s="579" t="s">
        <v>482</v>
      </c>
      <c r="C67" s="581">
        <f>SUM(C68:C75)</f>
        <v>1049</v>
      </c>
      <c r="D67" s="581">
        <f aca="true" t="shared" si="19" ref="D67:Q67">SUM(D68:D75)</f>
        <v>602</v>
      </c>
      <c r="E67" s="581">
        <f t="shared" si="19"/>
        <v>447</v>
      </c>
      <c r="F67" s="581">
        <f t="shared" si="19"/>
        <v>8</v>
      </c>
      <c r="G67" s="581">
        <f t="shared" si="19"/>
        <v>2</v>
      </c>
      <c r="H67" s="581">
        <f t="shared" si="19"/>
        <v>1041</v>
      </c>
      <c r="I67" s="581">
        <f t="shared" si="19"/>
        <v>617</v>
      </c>
      <c r="J67" s="581">
        <f t="shared" si="19"/>
        <v>333</v>
      </c>
      <c r="K67" s="581">
        <f t="shared" si="19"/>
        <v>33</v>
      </c>
      <c r="L67" s="581">
        <f t="shared" si="19"/>
        <v>250</v>
      </c>
      <c r="M67" s="581">
        <f t="shared" si="19"/>
        <v>0</v>
      </c>
      <c r="N67" s="581">
        <f t="shared" si="19"/>
        <v>0</v>
      </c>
      <c r="O67" s="581">
        <f t="shared" si="19"/>
        <v>0</v>
      </c>
      <c r="P67" s="581">
        <f t="shared" si="19"/>
        <v>1</v>
      </c>
      <c r="Q67" s="581">
        <f t="shared" si="19"/>
        <v>424</v>
      </c>
      <c r="R67" s="572">
        <f t="shared" si="2"/>
        <v>675</v>
      </c>
      <c r="S67" s="573">
        <f t="shared" si="3"/>
        <v>59.3192868719611</v>
      </c>
      <c r="T67" s="574">
        <f t="shared" si="4"/>
        <v>0</v>
      </c>
    </row>
    <row r="68" spans="1:20" s="407" customFormat="1" ht="23.25" customHeight="1">
      <c r="A68" s="562" t="s">
        <v>574</v>
      </c>
      <c r="B68" s="565" t="s">
        <v>483</v>
      </c>
      <c r="C68" s="546">
        <f aca="true" t="shared" si="20" ref="C68:C75">D68+E68</f>
        <v>50</v>
      </c>
      <c r="D68" s="546">
        <v>13</v>
      </c>
      <c r="E68" s="546">
        <v>37</v>
      </c>
      <c r="F68" s="546">
        <v>0</v>
      </c>
      <c r="G68" s="546"/>
      <c r="H68" s="546">
        <f aca="true" t="shared" si="21" ref="H68:H75">I68+Q68</f>
        <v>50</v>
      </c>
      <c r="I68" s="546">
        <f aca="true" t="shared" si="22" ref="I68:I75">SUM(J68:P68)</f>
        <v>49</v>
      </c>
      <c r="J68" s="546">
        <f>34+1</f>
        <v>35</v>
      </c>
      <c r="K68" s="546">
        <v>0</v>
      </c>
      <c r="L68" s="546">
        <v>14</v>
      </c>
      <c r="M68" s="546"/>
      <c r="N68" s="546"/>
      <c r="O68" s="546"/>
      <c r="P68" s="522"/>
      <c r="Q68" s="532">
        <v>1</v>
      </c>
      <c r="R68" s="534">
        <f t="shared" si="2"/>
        <v>15</v>
      </c>
      <c r="S68" s="427">
        <f t="shared" si="3"/>
        <v>71.42857142857143</v>
      </c>
      <c r="T68" s="419">
        <f t="shared" si="4"/>
        <v>0</v>
      </c>
    </row>
    <row r="69" spans="1:20" s="407" customFormat="1" ht="23.25" customHeight="1">
      <c r="A69" s="562" t="s">
        <v>575</v>
      </c>
      <c r="B69" s="565" t="s">
        <v>484</v>
      </c>
      <c r="C69" s="546">
        <f t="shared" si="20"/>
        <v>153</v>
      </c>
      <c r="D69" s="526">
        <v>86</v>
      </c>
      <c r="E69" s="526">
        <v>67</v>
      </c>
      <c r="F69" s="526">
        <v>1</v>
      </c>
      <c r="G69" s="526">
        <v>0</v>
      </c>
      <c r="H69" s="535">
        <f t="shared" si="21"/>
        <v>152</v>
      </c>
      <c r="I69" s="535">
        <f t="shared" si="22"/>
        <v>105</v>
      </c>
      <c r="J69" s="526">
        <v>54</v>
      </c>
      <c r="K69" s="526">
        <v>10</v>
      </c>
      <c r="L69" s="526">
        <v>40</v>
      </c>
      <c r="M69" s="526">
        <v>0</v>
      </c>
      <c r="N69" s="526">
        <v>0</v>
      </c>
      <c r="O69" s="526">
        <v>0</v>
      </c>
      <c r="P69" s="527">
        <v>1</v>
      </c>
      <c r="Q69" s="528">
        <v>47</v>
      </c>
      <c r="R69" s="534">
        <f t="shared" si="2"/>
        <v>88</v>
      </c>
      <c r="S69" s="427">
        <f t="shared" si="3"/>
        <v>60.952380952380956</v>
      </c>
      <c r="T69" s="419">
        <f t="shared" si="4"/>
        <v>0</v>
      </c>
    </row>
    <row r="70" spans="1:20" s="407" customFormat="1" ht="23.25" customHeight="1">
      <c r="A70" s="562" t="s">
        <v>576</v>
      </c>
      <c r="B70" s="565" t="s">
        <v>542</v>
      </c>
      <c r="C70" s="535">
        <f t="shared" si="20"/>
        <v>178</v>
      </c>
      <c r="D70" s="535">
        <v>125</v>
      </c>
      <c r="E70" s="535">
        <f>45+3+3+2</f>
        <v>53</v>
      </c>
      <c r="F70" s="535">
        <v>2</v>
      </c>
      <c r="G70" s="535"/>
      <c r="H70" s="535">
        <f t="shared" si="21"/>
        <v>176</v>
      </c>
      <c r="I70" s="535">
        <f t="shared" si="22"/>
        <v>92</v>
      </c>
      <c r="J70" s="535">
        <f>31+7</f>
        <v>38</v>
      </c>
      <c r="K70" s="535">
        <v>8</v>
      </c>
      <c r="L70" s="535">
        <v>46</v>
      </c>
      <c r="M70" s="535"/>
      <c r="N70" s="535"/>
      <c r="O70" s="535"/>
      <c r="P70" s="536">
        <v>0</v>
      </c>
      <c r="Q70" s="537">
        <v>84</v>
      </c>
      <c r="R70" s="534">
        <f t="shared" si="2"/>
        <v>130</v>
      </c>
      <c r="S70" s="427">
        <f t="shared" si="3"/>
        <v>50</v>
      </c>
      <c r="T70" s="419">
        <f t="shared" si="4"/>
        <v>0</v>
      </c>
    </row>
    <row r="71" spans="1:20" s="407" customFormat="1" ht="23.25" customHeight="1">
      <c r="A71" s="562" t="s">
        <v>577</v>
      </c>
      <c r="B71" s="565" t="s">
        <v>486</v>
      </c>
      <c r="C71" s="535">
        <f t="shared" si="20"/>
        <v>138</v>
      </c>
      <c r="D71" s="535">
        <v>80</v>
      </c>
      <c r="E71" s="535">
        <v>58</v>
      </c>
      <c r="F71" s="535">
        <v>4</v>
      </c>
      <c r="G71" s="535">
        <v>0</v>
      </c>
      <c r="H71" s="535">
        <f t="shared" si="21"/>
        <v>134</v>
      </c>
      <c r="I71" s="535">
        <f t="shared" si="22"/>
        <v>80</v>
      </c>
      <c r="J71" s="535">
        <v>45</v>
      </c>
      <c r="K71" s="535">
        <v>7</v>
      </c>
      <c r="L71" s="535">
        <v>28</v>
      </c>
      <c r="M71" s="535"/>
      <c r="N71" s="535"/>
      <c r="O71" s="535"/>
      <c r="P71" s="536">
        <v>0</v>
      </c>
      <c r="Q71" s="537">
        <v>54</v>
      </c>
      <c r="R71" s="534">
        <f t="shared" si="2"/>
        <v>82</v>
      </c>
      <c r="S71" s="427">
        <f t="shared" si="3"/>
        <v>65</v>
      </c>
      <c r="T71" s="419">
        <f t="shared" si="4"/>
        <v>0</v>
      </c>
    </row>
    <row r="72" spans="1:20" s="407" customFormat="1" ht="23.25" customHeight="1">
      <c r="A72" s="562" t="s">
        <v>578</v>
      </c>
      <c r="B72" s="565" t="s">
        <v>487</v>
      </c>
      <c r="C72" s="535">
        <f t="shared" si="20"/>
        <v>100</v>
      </c>
      <c r="D72" s="535">
        <v>56</v>
      </c>
      <c r="E72" s="535">
        <v>44</v>
      </c>
      <c r="F72" s="535">
        <v>0</v>
      </c>
      <c r="G72" s="535"/>
      <c r="H72" s="535">
        <f t="shared" si="21"/>
        <v>100</v>
      </c>
      <c r="I72" s="535">
        <f t="shared" si="22"/>
        <v>65</v>
      </c>
      <c r="J72" s="535">
        <v>40</v>
      </c>
      <c r="K72" s="535">
        <v>2</v>
      </c>
      <c r="L72" s="535">
        <v>23</v>
      </c>
      <c r="M72" s="535"/>
      <c r="N72" s="535"/>
      <c r="O72" s="535"/>
      <c r="P72" s="536">
        <v>0</v>
      </c>
      <c r="Q72" s="537">
        <v>35</v>
      </c>
      <c r="R72" s="534">
        <f t="shared" si="2"/>
        <v>58</v>
      </c>
      <c r="S72" s="427">
        <f t="shared" si="3"/>
        <v>64.61538461538461</v>
      </c>
      <c r="T72" s="419">
        <f t="shared" si="4"/>
        <v>0</v>
      </c>
    </row>
    <row r="73" spans="1:20" s="407" customFormat="1" ht="23.25" customHeight="1">
      <c r="A73" s="562" t="s">
        <v>579</v>
      </c>
      <c r="B73" s="565" t="s">
        <v>600</v>
      </c>
      <c r="C73" s="535">
        <f t="shared" si="20"/>
        <v>172</v>
      </c>
      <c r="D73" s="535">
        <v>96</v>
      </c>
      <c r="E73" s="535">
        <f>58+6+12</f>
        <v>76</v>
      </c>
      <c r="F73" s="535">
        <v>0</v>
      </c>
      <c r="G73" s="535">
        <v>2</v>
      </c>
      <c r="H73" s="535">
        <f t="shared" si="21"/>
        <v>172</v>
      </c>
      <c r="I73" s="535">
        <f t="shared" si="22"/>
        <v>101</v>
      </c>
      <c r="J73" s="535">
        <f>40+5</f>
        <v>45</v>
      </c>
      <c r="K73" s="535">
        <f>1+5</f>
        <v>6</v>
      </c>
      <c r="L73" s="535">
        <f>38+5+7</f>
        <v>50</v>
      </c>
      <c r="M73" s="535"/>
      <c r="N73" s="535"/>
      <c r="O73" s="535"/>
      <c r="P73" s="536">
        <v>0</v>
      </c>
      <c r="Q73" s="537">
        <v>71</v>
      </c>
      <c r="R73" s="534">
        <f t="shared" si="2"/>
        <v>121</v>
      </c>
      <c r="S73" s="427">
        <f t="shared" si="3"/>
        <v>50.495049504950494</v>
      </c>
      <c r="T73" s="419">
        <f t="shared" si="4"/>
        <v>0</v>
      </c>
    </row>
    <row r="74" spans="1:20" s="407" customFormat="1" ht="23.25" customHeight="1">
      <c r="A74" s="562" t="s">
        <v>580</v>
      </c>
      <c r="B74" s="565" t="s">
        <v>559</v>
      </c>
      <c r="C74" s="535">
        <f t="shared" si="20"/>
        <v>110</v>
      </c>
      <c r="D74" s="535">
        <v>60</v>
      </c>
      <c r="E74" s="535">
        <v>50</v>
      </c>
      <c r="F74" s="535">
        <v>0</v>
      </c>
      <c r="G74" s="535">
        <v>0</v>
      </c>
      <c r="H74" s="535">
        <f t="shared" si="21"/>
        <v>110</v>
      </c>
      <c r="I74" s="535">
        <f t="shared" si="22"/>
        <v>62</v>
      </c>
      <c r="J74" s="535">
        <v>38</v>
      </c>
      <c r="K74" s="535">
        <v>0</v>
      </c>
      <c r="L74" s="535">
        <v>24</v>
      </c>
      <c r="M74" s="535">
        <v>0</v>
      </c>
      <c r="N74" s="535">
        <v>0</v>
      </c>
      <c r="O74" s="535">
        <v>0</v>
      </c>
      <c r="P74" s="536">
        <v>0</v>
      </c>
      <c r="Q74" s="537">
        <v>48</v>
      </c>
      <c r="R74" s="534">
        <f t="shared" si="2"/>
        <v>72</v>
      </c>
      <c r="S74" s="427">
        <f t="shared" si="3"/>
        <v>61.29032258064516</v>
      </c>
      <c r="T74" s="419">
        <f t="shared" si="4"/>
        <v>0</v>
      </c>
    </row>
    <row r="75" spans="1:20" s="407" customFormat="1" ht="23.25" customHeight="1">
      <c r="A75" s="562" t="s">
        <v>581</v>
      </c>
      <c r="B75" s="565" t="s">
        <v>601</v>
      </c>
      <c r="C75" s="535">
        <f t="shared" si="20"/>
        <v>148</v>
      </c>
      <c r="D75" s="535">
        <v>86</v>
      </c>
      <c r="E75" s="535">
        <f>42+15+5</f>
        <v>62</v>
      </c>
      <c r="F75" s="535">
        <v>1</v>
      </c>
      <c r="G75" s="535">
        <v>0</v>
      </c>
      <c r="H75" s="535">
        <f t="shared" si="21"/>
        <v>147</v>
      </c>
      <c r="I75" s="535">
        <f t="shared" si="22"/>
        <v>63</v>
      </c>
      <c r="J75" s="535">
        <f>31+7</f>
        <v>38</v>
      </c>
      <c r="K75" s="535">
        <v>0</v>
      </c>
      <c r="L75" s="535">
        <v>25</v>
      </c>
      <c r="M75" s="535">
        <v>0</v>
      </c>
      <c r="N75" s="535">
        <v>0</v>
      </c>
      <c r="O75" s="535">
        <v>0</v>
      </c>
      <c r="P75" s="536">
        <v>0</v>
      </c>
      <c r="Q75" s="537">
        <v>84</v>
      </c>
      <c r="R75" s="534">
        <f t="shared" si="2"/>
        <v>109</v>
      </c>
      <c r="S75" s="427">
        <f t="shared" si="3"/>
        <v>60.317460317460316</v>
      </c>
      <c r="T75" s="419">
        <f t="shared" si="4"/>
        <v>0</v>
      </c>
    </row>
    <row r="76" spans="1:20" s="407" customFormat="1" ht="23.25" customHeight="1">
      <c r="A76" s="578">
        <v>8</v>
      </c>
      <c r="B76" s="580" t="s">
        <v>488</v>
      </c>
      <c r="C76" s="583">
        <f>SUM(C77:C79)</f>
        <v>594</v>
      </c>
      <c r="D76" s="583">
        <f aca="true" t="shared" si="23" ref="D76:Q76">SUM(D77:D79)</f>
        <v>253</v>
      </c>
      <c r="E76" s="583">
        <f t="shared" si="23"/>
        <v>341</v>
      </c>
      <c r="F76" s="583">
        <f t="shared" si="23"/>
        <v>7</v>
      </c>
      <c r="G76" s="583">
        <f t="shared" si="23"/>
        <v>0</v>
      </c>
      <c r="H76" s="583">
        <f t="shared" si="23"/>
        <v>587</v>
      </c>
      <c r="I76" s="583">
        <f t="shared" si="23"/>
        <v>376</v>
      </c>
      <c r="J76" s="583">
        <f t="shared" si="23"/>
        <v>225</v>
      </c>
      <c r="K76" s="583">
        <f t="shared" si="23"/>
        <v>7</v>
      </c>
      <c r="L76" s="583">
        <f t="shared" si="23"/>
        <v>144</v>
      </c>
      <c r="M76" s="583">
        <f t="shared" si="23"/>
        <v>0</v>
      </c>
      <c r="N76" s="583">
        <f t="shared" si="23"/>
        <v>0</v>
      </c>
      <c r="O76" s="583">
        <f t="shared" si="23"/>
        <v>0</v>
      </c>
      <c r="P76" s="583">
        <f t="shared" si="23"/>
        <v>0</v>
      </c>
      <c r="Q76" s="583">
        <f t="shared" si="23"/>
        <v>211</v>
      </c>
      <c r="R76" s="572">
        <f aca="true" t="shared" si="24" ref="R76:R123">SUM(L76:Q76)</f>
        <v>355</v>
      </c>
      <c r="S76" s="573">
        <f aca="true" t="shared" si="25" ref="S76:S123">(J76+K76)/I76*100</f>
        <v>61.702127659574465</v>
      </c>
      <c r="T76" s="574">
        <f t="shared" si="4"/>
        <v>0</v>
      </c>
    </row>
    <row r="77" spans="1:20" s="407" customFormat="1" ht="23.25" customHeight="1">
      <c r="A77" s="562" t="s">
        <v>489</v>
      </c>
      <c r="B77" s="559" t="s">
        <v>490</v>
      </c>
      <c r="C77" s="538">
        <f>D77+E77</f>
        <v>211</v>
      </c>
      <c r="D77" s="538">
        <v>56</v>
      </c>
      <c r="E77" s="538">
        <v>155</v>
      </c>
      <c r="F77" s="538">
        <v>6</v>
      </c>
      <c r="G77" s="538">
        <v>0</v>
      </c>
      <c r="H77" s="538">
        <f>I77+Q77</f>
        <v>205</v>
      </c>
      <c r="I77" s="538">
        <f>J77+K77+L77+M77+N77+O77+P77</f>
        <v>156</v>
      </c>
      <c r="J77" s="538">
        <v>100</v>
      </c>
      <c r="K77" s="538">
        <v>4</v>
      </c>
      <c r="L77" s="538">
        <v>52</v>
      </c>
      <c r="M77" s="538"/>
      <c r="N77" s="538"/>
      <c r="O77" s="538"/>
      <c r="P77" s="538"/>
      <c r="Q77" s="538">
        <v>49</v>
      </c>
      <c r="R77" s="534">
        <f t="shared" si="24"/>
        <v>101</v>
      </c>
      <c r="S77" s="427">
        <f t="shared" si="25"/>
        <v>66.66666666666666</v>
      </c>
      <c r="T77" s="419">
        <f t="shared" si="4"/>
        <v>0</v>
      </c>
    </row>
    <row r="78" spans="1:20" s="407" customFormat="1" ht="23.25" customHeight="1">
      <c r="A78" s="562" t="s">
        <v>491</v>
      </c>
      <c r="B78" s="559" t="s">
        <v>492</v>
      </c>
      <c r="C78" s="538">
        <f>D78+E78</f>
        <v>150</v>
      </c>
      <c r="D78" s="538">
        <v>73</v>
      </c>
      <c r="E78" s="538">
        <v>77</v>
      </c>
      <c r="F78" s="538">
        <v>1</v>
      </c>
      <c r="G78" s="538">
        <v>0</v>
      </c>
      <c r="H78" s="538">
        <f>I78+Q78</f>
        <v>149</v>
      </c>
      <c r="I78" s="538">
        <f>J78+K78+L78+M78+N78+O78+P78</f>
        <v>88</v>
      </c>
      <c r="J78" s="538">
        <v>52</v>
      </c>
      <c r="K78" s="538">
        <v>2</v>
      </c>
      <c r="L78" s="538">
        <v>34</v>
      </c>
      <c r="M78" s="538"/>
      <c r="N78" s="538"/>
      <c r="O78" s="538"/>
      <c r="P78" s="538"/>
      <c r="Q78" s="538">
        <v>61</v>
      </c>
      <c r="R78" s="534">
        <f t="shared" si="24"/>
        <v>95</v>
      </c>
      <c r="S78" s="427">
        <f t="shared" si="25"/>
        <v>61.36363636363637</v>
      </c>
      <c r="T78" s="419">
        <f aca="true" t="shared" si="26" ref="T78:T123">C78-F78-H78</f>
        <v>0</v>
      </c>
    </row>
    <row r="79" spans="1:20" s="407" customFormat="1" ht="23.25" customHeight="1">
      <c r="A79" s="562" t="s">
        <v>543</v>
      </c>
      <c r="B79" s="559" t="s">
        <v>485</v>
      </c>
      <c r="C79" s="538">
        <f>D79+E79</f>
        <v>233</v>
      </c>
      <c r="D79" s="538">
        <v>124</v>
      </c>
      <c r="E79" s="538">
        <v>109</v>
      </c>
      <c r="F79" s="538">
        <v>0</v>
      </c>
      <c r="G79" s="538"/>
      <c r="H79" s="538">
        <f>I79+Q79</f>
        <v>233</v>
      </c>
      <c r="I79" s="538">
        <f>J79+K79+L79+M79+N79+O79+P79</f>
        <v>132</v>
      </c>
      <c r="J79" s="538">
        <v>73</v>
      </c>
      <c r="K79" s="538">
        <v>1</v>
      </c>
      <c r="L79" s="538">
        <v>58</v>
      </c>
      <c r="M79" s="538"/>
      <c r="N79" s="538"/>
      <c r="O79" s="538"/>
      <c r="P79" s="538"/>
      <c r="Q79" s="538">
        <v>101</v>
      </c>
      <c r="R79" s="534">
        <f t="shared" si="24"/>
        <v>159</v>
      </c>
      <c r="S79" s="427">
        <f t="shared" si="25"/>
        <v>56.060606060606055</v>
      </c>
      <c r="T79" s="419">
        <f t="shared" si="26"/>
        <v>0</v>
      </c>
    </row>
    <row r="80" spans="1:20" s="407" customFormat="1" ht="23.25" customHeight="1">
      <c r="A80" s="578">
        <v>9</v>
      </c>
      <c r="B80" s="580" t="s">
        <v>493</v>
      </c>
      <c r="C80" s="584">
        <f>SUM(C81:C83)</f>
        <v>513</v>
      </c>
      <c r="D80" s="584">
        <f aca="true" t="shared" si="27" ref="D80:Q80">SUM(D81:D83)</f>
        <v>194</v>
      </c>
      <c r="E80" s="584">
        <f t="shared" si="27"/>
        <v>319</v>
      </c>
      <c r="F80" s="584">
        <f t="shared" si="27"/>
        <v>4</v>
      </c>
      <c r="G80" s="584">
        <f t="shared" si="27"/>
        <v>0</v>
      </c>
      <c r="H80" s="584">
        <f t="shared" si="27"/>
        <v>509</v>
      </c>
      <c r="I80" s="584">
        <f t="shared" si="27"/>
        <v>380</v>
      </c>
      <c r="J80" s="584">
        <f t="shared" si="27"/>
        <v>238</v>
      </c>
      <c r="K80" s="584">
        <f t="shared" si="27"/>
        <v>7</v>
      </c>
      <c r="L80" s="584">
        <f t="shared" si="27"/>
        <v>135</v>
      </c>
      <c r="M80" s="584">
        <f t="shared" si="27"/>
        <v>0</v>
      </c>
      <c r="N80" s="584">
        <f t="shared" si="27"/>
        <v>0</v>
      </c>
      <c r="O80" s="584">
        <f t="shared" si="27"/>
        <v>0</v>
      </c>
      <c r="P80" s="584">
        <f t="shared" si="27"/>
        <v>0</v>
      </c>
      <c r="Q80" s="584">
        <f t="shared" si="27"/>
        <v>129</v>
      </c>
      <c r="R80" s="572">
        <f t="shared" si="24"/>
        <v>264</v>
      </c>
      <c r="S80" s="573">
        <f t="shared" si="25"/>
        <v>64.47368421052632</v>
      </c>
      <c r="T80" s="574">
        <f t="shared" si="26"/>
        <v>0</v>
      </c>
    </row>
    <row r="81" spans="1:20" s="381" customFormat="1" ht="23.25" customHeight="1">
      <c r="A81" s="561" t="s">
        <v>494</v>
      </c>
      <c r="B81" s="561" t="s">
        <v>590</v>
      </c>
      <c r="C81" s="535">
        <f>SUM(D81:E81)</f>
        <v>189</v>
      </c>
      <c r="D81" s="535">
        <v>48</v>
      </c>
      <c r="E81" s="535">
        <f>9+8+19+11+19+35+25+15</f>
        <v>141</v>
      </c>
      <c r="F81" s="535">
        <f>1+1+1+1</f>
        <v>4</v>
      </c>
      <c r="G81" s="535">
        <v>0</v>
      </c>
      <c r="H81" s="535">
        <f>SUM(I81,Q81)</f>
        <v>185</v>
      </c>
      <c r="I81" s="535">
        <f>SUM(J81:P81)</f>
        <v>145</v>
      </c>
      <c r="J81" s="535">
        <f>5+10+11+8+10+18+20+14</f>
        <v>96</v>
      </c>
      <c r="K81" s="535">
        <f>3</f>
        <v>3</v>
      </c>
      <c r="L81" s="535">
        <f>C81-J81-K81-M81-N81-O81-P81-Q81-F81-G81</f>
        <v>46</v>
      </c>
      <c r="M81" s="535">
        <v>0</v>
      </c>
      <c r="N81" s="535">
        <v>0</v>
      </c>
      <c r="O81" s="535">
        <v>0</v>
      </c>
      <c r="P81" s="536">
        <v>0</v>
      </c>
      <c r="Q81" s="537">
        <f>36+4+2-1-2+1</f>
        <v>40</v>
      </c>
      <c r="R81" s="534">
        <f t="shared" si="24"/>
        <v>86</v>
      </c>
      <c r="S81" s="427">
        <f t="shared" si="25"/>
        <v>68.27586206896552</v>
      </c>
      <c r="T81" s="419">
        <f t="shared" si="26"/>
        <v>0</v>
      </c>
    </row>
    <row r="82" spans="1:20" s="381" customFormat="1" ht="23.25" customHeight="1">
      <c r="A82" s="561" t="s">
        <v>496</v>
      </c>
      <c r="B82" s="561" t="s">
        <v>591</v>
      </c>
      <c r="C82" s="535">
        <f>SUM(D82:E82)</f>
        <v>200</v>
      </c>
      <c r="D82" s="535">
        <v>97</v>
      </c>
      <c r="E82" s="535">
        <f>9+29+15+8+42</f>
        <v>103</v>
      </c>
      <c r="F82" s="535">
        <v>0</v>
      </c>
      <c r="G82" s="535">
        <v>0</v>
      </c>
      <c r="H82" s="535">
        <f>SUM(I82,Q82)</f>
        <v>200</v>
      </c>
      <c r="I82" s="535">
        <f>SUM(J82:P82)</f>
        <v>155</v>
      </c>
      <c r="J82" s="535">
        <f>11+12+7+41</f>
        <v>71</v>
      </c>
      <c r="K82" s="535">
        <f>1+1</f>
        <v>2</v>
      </c>
      <c r="L82" s="535">
        <f>C82-J82-K82-M82-N82-O82-P82-Q82-F82-G82</f>
        <v>82</v>
      </c>
      <c r="M82" s="535">
        <v>0</v>
      </c>
      <c r="N82" s="535">
        <v>0</v>
      </c>
      <c r="O82" s="535">
        <v>0</v>
      </c>
      <c r="P82" s="536">
        <v>0</v>
      </c>
      <c r="Q82" s="537">
        <f>47-8-4+6+4</f>
        <v>45</v>
      </c>
      <c r="R82" s="534">
        <f t="shared" si="24"/>
        <v>127</v>
      </c>
      <c r="S82" s="427">
        <f t="shared" si="25"/>
        <v>47.096774193548384</v>
      </c>
      <c r="T82" s="419">
        <f t="shared" si="26"/>
        <v>0</v>
      </c>
    </row>
    <row r="83" spans="1:20" s="381" customFormat="1" ht="23.25" customHeight="1">
      <c r="A83" s="561" t="s">
        <v>498</v>
      </c>
      <c r="B83" s="561" t="s">
        <v>592</v>
      </c>
      <c r="C83" s="535">
        <f>SUM(D83:E83)</f>
        <v>124</v>
      </c>
      <c r="D83" s="535">
        <v>49</v>
      </c>
      <c r="E83" s="535">
        <f>12+22+6+17+14+4</f>
        <v>75</v>
      </c>
      <c r="F83" s="535">
        <v>0</v>
      </c>
      <c r="G83" s="535">
        <v>0</v>
      </c>
      <c r="H83" s="535">
        <f>SUM(I83,Q83)</f>
        <v>124</v>
      </c>
      <c r="I83" s="535">
        <f>SUM(J83:P83)</f>
        <v>80</v>
      </c>
      <c r="J83" s="535">
        <f>2+16+16+17+11+9</f>
        <v>71</v>
      </c>
      <c r="K83" s="535">
        <f>2</f>
        <v>2</v>
      </c>
      <c r="L83" s="535">
        <f>C83-J83-K83-M83-N83-O83-P83-Q83-F83-G83</f>
        <v>7</v>
      </c>
      <c r="M83" s="535">
        <v>0</v>
      </c>
      <c r="N83" s="535">
        <v>0</v>
      </c>
      <c r="O83" s="535">
        <v>0</v>
      </c>
      <c r="P83" s="536">
        <f>0</f>
        <v>0</v>
      </c>
      <c r="Q83" s="537">
        <f>32+1+5+4+8-6</f>
        <v>44</v>
      </c>
      <c r="R83" s="534">
        <f t="shared" si="24"/>
        <v>51</v>
      </c>
      <c r="S83" s="427">
        <f t="shared" si="25"/>
        <v>91.25</v>
      </c>
      <c r="T83" s="419">
        <f t="shared" si="26"/>
        <v>0</v>
      </c>
    </row>
    <row r="84" spans="1:20" s="407" customFormat="1" ht="23.25" customHeight="1">
      <c r="A84" s="578">
        <v>10</v>
      </c>
      <c r="B84" s="580" t="s">
        <v>500</v>
      </c>
      <c r="C84" s="584">
        <f>SUM(C85:C91)</f>
        <v>1847</v>
      </c>
      <c r="D84" s="584">
        <f aca="true" t="shared" si="28" ref="D84:Q84">SUM(D85:D91)</f>
        <v>1170</v>
      </c>
      <c r="E84" s="584">
        <f t="shared" si="28"/>
        <v>677</v>
      </c>
      <c r="F84" s="584">
        <f t="shared" si="28"/>
        <v>6</v>
      </c>
      <c r="G84" s="584">
        <f t="shared" si="28"/>
        <v>0</v>
      </c>
      <c r="H84" s="584">
        <f t="shared" si="28"/>
        <v>1841</v>
      </c>
      <c r="I84" s="584">
        <f t="shared" si="28"/>
        <v>1002</v>
      </c>
      <c r="J84" s="584">
        <f t="shared" si="28"/>
        <v>491</v>
      </c>
      <c r="K84" s="584">
        <f t="shared" si="28"/>
        <v>13</v>
      </c>
      <c r="L84" s="584">
        <f t="shared" si="28"/>
        <v>492</v>
      </c>
      <c r="M84" s="584">
        <f t="shared" si="28"/>
        <v>4</v>
      </c>
      <c r="N84" s="584">
        <f t="shared" si="28"/>
        <v>0</v>
      </c>
      <c r="O84" s="584">
        <f t="shared" si="28"/>
        <v>0</v>
      </c>
      <c r="P84" s="584">
        <f t="shared" si="28"/>
        <v>2</v>
      </c>
      <c r="Q84" s="584">
        <f t="shared" si="28"/>
        <v>839</v>
      </c>
      <c r="R84" s="572">
        <f t="shared" si="24"/>
        <v>1337</v>
      </c>
      <c r="S84" s="573">
        <f t="shared" si="25"/>
        <v>50.29940119760479</v>
      </c>
      <c r="T84" s="574">
        <f t="shared" si="26"/>
        <v>0</v>
      </c>
    </row>
    <row r="85" spans="1:20" s="407" customFormat="1" ht="23.25" customHeight="1">
      <c r="A85" s="562" t="s">
        <v>525</v>
      </c>
      <c r="B85" s="569" t="s">
        <v>472</v>
      </c>
      <c r="C85" s="539">
        <v>138</v>
      </c>
      <c r="D85" s="539">
        <v>74</v>
      </c>
      <c r="E85" s="539">
        <v>64</v>
      </c>
      <c r="F85" s="539">
        <v>1</v>
      </c>
      <c r="G85" s="539">
        <v>0</v>
      </c>
      <c r="H85" s="539">
        <v>137</v>
      </c>
      <c r="I85" s="539">
        <v>81</v>
      </c>
      <c r="J85" s="539">
        <v>49</v>
      </c>
      <c r="K85" s="539">
        <v>0</v>
      </c>
      <c r="L85" s="539">
        <v>32</v>
      </c>
      <c r="M85" s="539">
        <v>0</v>
      </c>
      <c r="N85" s="539">
        <v>0</v>
      </c>
      <c r="O85" s="539">
        <v>0</v>
      </c>
      <c r="P85" s="539">
        <v>0</v>
      </c>
      <c r="Q85" s="539">
        <v>56</v>
      </c>
      <c r="R85" s="534">
        <f t="shared" si="24"/>
        <v>88</v>
      </c>
      <c r="S85" s="427">
        <f t="shared" si="25"/>
        <v>60.49382716049383</v>
      </c>
      <c r="T85" s="419">
        <f t="shared" si="26"/>
        <v>0</v>
      </c>
    </row>
    <row r="86" spans="1:20" s="407" customFormat="1" ht="23.25" customHeight="1">
      <c r="A86" s="562" t="s">
        <v>582</v>
      </c>
      <c r="B86" s="569" t="s">
        <v>554</v>
      </c>
      <c r="C86" s="539">
        <v>364</v>
      </c>
      <c r="D86" s="539">
        <v>235</v>
      </c>
      <c r="E86" s="539">
        <v>129</v>
      </c>
      <c r="F86" s="539">
        <v>1</v>
      </c>
      <c r="G86" s="539">
        <v>0</v>
      </c>
      <c r="H86" s="539">
        <v>363</v>
      </c>
      <c r="I86" s="539">
        <v>182</v>
      </c>
      <c r="J86" s="539">
        <v>102</v>
      </c>
      <c r="K86" s="539">
        <v>7</v>
      </c>
      <c r="L86" s="539">
        <v>72</v>
      </c>
      <c r="M86" s="539">
        <v>1</v>
      </c>
      <c r="N86" s="539">
        <v>0</v>
      </c>
      <c r="O86" s="539">
        <v>0</v>
      </c>
      <c r="P86" s="539">
        <v>0</v>
      </c>
      <c r="Q86" s="539">
        <v>181</v>
      </c>
      <c r="R86" s="534">
        <f t="shared" si="24"/>
        <v>254</v>
      </c>
      <c r="S86" s="427">
        <f t="shared" si="25"/>
        <v>59.89010989010989</v>
      </c>
      <c r="T86" s="419">
        <f t="shared" si="26"/>
        <v>0</v>
      </c>
    </row>
    <row r="87" spans="1:20" s="407" customFormat="1" ht="23.25" customHeight="1">
      <c r="A87" s="562" t="s">
        <v>526</v>
      </c>
      <c r="B87" s="569" t="s">
        <v>501</v>
      </c>
      <c r="C87" s="539">
        <v>219</v>
      </c>
      <c r="D87" s="539">
        <v>149</v>
      </c>
      <c r="E87" s="539">
        <v>70</v>
      </c>
      <c r="F87" s="539">
        <v>3</v>
      </c>
      <c r="G87" s="539">
        <v>0</v>
      </c>
      <c r="H87" s="539">
        <v>216</v>
      </c>
      <c r="I87" s="539">
        <v>100</v>
      </c>
      <c r="J87" s="539">
        <v>47</v>
      </c>
      <c r="K87" s="539">
        <v>1</v>
      </c>
      <c r="L87" s="539">
        <v>52</v>
      </c>
      <c r="M87" s="539">
        <v>0</v>
      </c>
      <c r="N87" s="539">
        <v>0</v>
      </c>
      <c r="O87" s="539">
        <v>0</v>
      </c>
      <c r="P87" s="539">
        <v>0</v>
      </c>
      <c r="Q87" s="539">
        <v>116</v>
      </c>
      <c r="R87" s="534">
        <f t="shared" si="24"/>
        <v>168</v>
      </c>
      <c r="S87" s="427">
        <f t="shared" si="25"/>
        <v>48</v>
      </c>
      <c r="T87" s="419">
        <f t="shared" si="26"/>
        <v>0</v>
      </c>
    </row>
    <row r="88" spans="1:20" s="407" customFormat="1" ht="23.25" customHeight="1">
      <c r="A88" s="562" t="s">
        <v>527</v>
      </c>
      <c r="B88" s="569" t="s">
        <v>545</v>
      </c>
      <c r="C88" s="539">
        <v>362</v>
      </c>
      <c r="D88" s="539">
        <v>242</v>
      </c>
      <c r="E88" s="539">
        <v>120</v>
      </c>
      <c r="F88" s="539">
        <v>0</v>
      </c>
      <c r="G88" s="539">
        <v>0</v>
      </c>
      <c r="H88" s="539">
        <v>362</v>
      </c>
      <c r="I88" s="539">
        <v>200</v>
      </c>
      <c r="J88" s="539">
        <v>80</v>
      </c>
      <c r="K88" s="539">
        <v>3</v>
      </c>
      <c r="L88" s="539">
        <v>112</v>
      </c>
      <c r="M88" s="539">
        <v>3</v>
      </c>
      <c r="N88" s="539">
        <v>0</v>
      </c>
      <c r="O88" s="539">
        <v>0</v>
      </c>
      <c r="P88" s="539">
        <v>2</v>
      </c>
      <c r="Q88" s="539">
        <v>162</v>
      </c>
      <c r="R88" s="534">
        <f t="shared" si="24"/>
        <v>279</v>
      </c>
      <c r="S88" s="427">
        <f t="shared" si="25"/>
        <v>41.5</v>
      </c>
      <c r="T88" s="419">
        <f t="shared" si="26"/>
        <v>0</v>
      </c>
    </row>
    <row r="89" spans="1:20" s="407" customFormat="1" ht="23.25" customHeight="1">
      <c r="A89" s="562" t="s">
        <v>528</v>
      </c>
      <c r="B89" s="569" t="s">
        <v>502</v>
      </c>
      <c r="C89" s="539">
        <v>244</v>
      </c>
      <c r="D89" s="539">
        <v>140</v>
      </c>
      <c r="E89" s="539">
        <v>104</v>
      </c>
      <c r="F89" s="539">
        <v>1</v>
      </c>
      <c r="G89" s="539">
        <v>0</v>
      </c>
      <c r="H89" s="539">
        <v>243</v>
      </c>
      <c r="I89" s="539">
        <v>162</v>
      </c>
      <c r="J89" s="539">
        <v>73</v>
      </c>
      <c r="K89" s="539">
        <v>1</v>
      </c>
      <c r="L89" s="539">
        <v>88</v>
      </c>
      <c r="M89" s="539">
        <v>0</v>
      </c>
      <c r="N89" s="539">
        <v>0</v>
      </c>
      <c r="O89" s="539">
        <v>0</v>
      </c>
      <c r="P89" s="539">
        <v>0</v>
      </c>
      <c r="Q89" s="539">
        <v>81</v>
      </c>
      <c r="R89" s="534">
        <f t="shared" si="24"/>
        <v>169</v>
      </c>
      <c r="S89" s="427">
        <f t="shared" si="25"/>
        <v>45.67901234567901</v>
      </c>
      <c r="T89" s="419">
        <f t="shared" si="26"/>
        <v>0</v>
      </c>
    </row>
    <row r="90" spans="1:20" s="407" customFormat="1" ht="23.25" customHeight="1">
      <c r="A90" s="562" t="s">
        <v>529</v>
      </c>
      <c r="B90" s="569" t="s">
        <v>504</v>
      </c>
      <c r="C90" s="539">
        <v>302</v>
      </c>
      <c r="D90" s="539">
        <v>196</v>
      </c>
      <c r="E90" s="539">
        <v>106</v>
      </c>
      <c r="F90" s="539">
        <v>0</v>
      </c>
      <c r="G90" s="539">
        <v>0</v>
      </c>
      <c r="H90" s="539">
        <v>302</v>
      </c>
      <c r="I90" s="539">
        <v>162</v>
      </c>
      <c r="J90" s="539">
        <v>83</v>
      </c>
      <c r="K90" s="539">
        <v>1</v>
      </c>
      <c r="L90" s="539">
        <v>78</v>
      </c>
      <c r="M90" s="539">
        <v>0</v>
      </c>
      <c r="N90" s="539">
        <v>0</v>
      </c>
      <c r="O90" s="539">
        <v>0</v>
      </c>
      <c r="P90" s="539">
        <v>0</v>
      </c>
      <c r="Q90" s="539">
        <v>140</v>
      </c>
      <c r="R90" s="534">
        <f t="shared" si="24"/>
        <v>218</v>
      </c>
      <c r="S90" s="427">
        <f t="shared" si="25"/>
        <v>51.85185185185185</v>
      </c>
      <c r="T90" s="419">
        <f t="shared" si="26"/>
        <v>0</v>
      </c>
    </row>
    <row r="91" spans="1:20" s="407" customFormat="1" ht="23.25" customHeight="1">
      <c r="A91" s="562" t="s">
        <v>503</v>
      </c>
      <c r="B91" s="569" t="s">
        <v>505</v>
      </c>
      <c r="C91" s="539">
        <v>218</v>
      </c>
      <c r="D91" s="539">
        <v>134</v>
      </c>
      <c r="E91" s="539">
        <v>84</v>
      </c>
      <c r="F91" s="539">
        <v>0</v>
      </c>
      <c r="G91" s="539">
        <v>0</v>
      </c>
      <c r="H91" s="539">
        <v>218</v>
      </c>
      <c r="I91" s="539">
        <v>115</v>
      </c>
      <c r="J91" s="539">
        <v>57</v>
      </c>
      <c r="K91" s="539">
        <v>0</v>
      </c>
      <c r="L91" s="539">
        <v>58</v>
      </c>
      <c r="M91" s="539">
        <v>0</v>
      </c>
      <c r="N91" s="539">
        <v>0</v>
      </c>
      <c r="O91" s="539">
        <v>0</v>
      </c>
      <c r="P91" s="539">
        <v>0</v>
      </c>
      <c r="Q91" s="539">
        <v>103</v>
      </c>
      <c r="R91" s="534">
        <f t="shared" si="24"/>
        <v>161</v>
      </c>
      <c r="S91" s="427">
        <f t="shared" si="25"/>
        <v>49.56521739130435</v>
      </c>
      <c r="T91" s="419">
        <f t="shared" si="26"/>
        <v>0</v>
      </c>
    </row>
    <row r="92" spans="1:20" s="407" customFormat="1" ht="23.25" customHeight="1">
      <c r="A92" s="578">
        <v>11</v>
      </c>
      <c r="B92" s="580" t="s">
        <v>506</v>
      </c>
      <c r="C92" s="585">
        <f>SUM(C93:C95)</f>
        <v>159</v>
      </c>
      <c r="D92" s="585">
        <f aca="true" t="shared" si="29" ref="D92:Q92">SUM(D93:D95)</f>
        <v>60</v>
      </c>
      <c r="E92" s="585">
        <f t="shared" si="29"/>
        <v>99</v>
      </c>
      <c r="F92" s="585">
        <f t="shared" si="29"/>
        <v>2</v>
      </c>
      <c r="G92" s="585">
        <f t="shared" si="29"/>
        <v>0</v>
      </c>
      <c r="H92" s="585">
        <f t="shared" si="29"/>
        <v>157</v>
      </c>
      <c r="I92" s="585">
        <f t="shared" si="29"/>
        <v>116</v>
      </c>
      <c r="J92" s="585">
        <f t="shared" si="29"/>
        <v>93</v>
      </c>
      <c r="K92" s="585">
        <f t="shared" si="29"/>
        <v>0</v>
      </c>
      <c r="L92" s="585">
        <f t="shared" si="29"/>
        <v>20</v>
      </c>
      <c r="M92" s="585">
        <f t="shared" si="29"/>
        <v>0</v>
      </c>
      <c r="N92" s="585">
        <f t="shared" si="29"/>
        <v>0</v>
      </c>
      <c r="O92" s="585">
        <f t="shared" si="29"/>
        <v>0</v>
      </c>
      <c r="P92" s="585">
        <f t="shared" si="29"/>
        <v>3</v>
      </c>
      <c r="Q92" s="585">
        <f t="shared" si="29"/>
        <v>41</v>
      </c>
      <c r="R92" s="572">
        <f t="shared" si="24"/>
        <v>64</v>
      </c>
      <c r="S92" s="573">
        <f t="shared" si="25"/>
        <v>80.17241379310344</v>
      </c>
      <c r="T92" s="574">
        <f t="shared" si="26"/>
        <v>0</v>
      </c>
    </row>
    <row r="93" spans="1:20" s="407" customFormat="1" ht="23.25" customHeight="1">
      <c r="A93" s="562" t="s">
        <v>507</v>
      </c>
      <c r="B93" s="559" t="s">
        <v>508</v>
      </c>
      <c r="C93" s="526">
        <f>D93+E93</f>
        <v>43</v>
      </c>
      <c r="D93" s="526">
        <v>1</v>
      </c>
      <c r="E93" s="526">
        <v>42</v>
      </c>
      <c r="F93" s="526">
        <v>2</v>
      </c>
      <c r="G93" s="526">
        <v>0</v>
      </c>
      <c r="H93" s="526">
        <f>I93+Q93</f>
        <v>41</v>
      </c>
      <c r="I93" s="526">
        <f>J93+K93+L93+M93+N93+O93+P93</f>
        <v>41</v>
      </c>
      <c r="J93" s="526">
        <v>40</v>
      </c>
      <c r="K93" s="526">
        <v>0</v>
      </c>
      <c r="L93" s="526">
        <v>1</v>
      </c>
      <c r="M93" s="526">
        <v>0</v>
      </c>
      <c r="N93" s="526">
        <v>0</v>
      </c>
      <c r="O93" s="526">
        <v>0</v>
      </c>
      <c r="P93" s="527"/>
      <c r="Q93" s="528"/>
      <c r="R93" s="534">
        <f t="shared" si="24"/>
        <v>1</v>
      </c>
      <c r="S93" s="427">
        <f t="shared" si="25"/>
        <v>97.5609756097561</v>
      </c>
      <c r="T93" s="419">
        <f t="shared" si="26"/>
        <v>0</v>
      </c>
    </row>
    <row r="94" spans="1:20" s="407" customFormat="1" ht="23.25" customHeight="1">
      <c r="A94" s="562" t="s">
        <v>509</v>
      </c>
      <c r="B94" s="559" t="s">
        <v>510</v>
      </c>
      <c r="C94" s="526">
        <f>D94+E94</f>
        <v>75</v>
      </c>
      <c r="D94" s="526">
        <v>34</v>
      </c>
      <c r="E94" s="526">
        <v>41</v>
      </c>
      <c r="F94" s="526">
        <v>0</v>
      </c>
      <c r="G94" s="526">
        <v>0</v>
      </c>
      <c r="H94" s="526">
        <f>I94+Q94</f>
        <v>75</v>
      </c>
      <c r="I94" s="526">
        <f>J94+K94+L94+M94+N94+O94+P94</f>
        <v>51</v>
      </c>
      <c r="J94" s="526">
        <v>43</v>
      </c>
      <c r="K94" s="526">
        <v>0</v>
      </c>
      <c r="L94" s="526">
        <v>6</v>
      </c>
      <c r="M94" s="526">
        <v>0</v>
      </c>
      <c r="N94" s="526">
        <v>0</v>
      </c>
      <c r="O94" s="526">
        <v>0</v>
      </c>
      <c r="P94" s="527">
        <v>2</v>
      </c>
      <c r="Q94" s="528">
        <v>24</v>
      </c>
      <c r="R94" s="534">
        <f t="shared" si="24"/>
        <v>32</v>
      </c>
      <c r="S94" s="427">
        <f t="shared" si="25"/>
        <v>84.31372549019608</v>
      </c>
      <c r="T94" s="419">
        <f t="shared" si="26"/>
        <v>0</v>
      </c>
    </row>
    <row r="95" spans="1:20" s="407" customFormat="1" ht="23.25" customHeight="1">
      <c r="A95" s="562" t="s">
        <v>560</v>
      </c>
      <c r="B95" s="559" t="s">
        <v>561</v>
      </c>
      <c r="C95" s="535">
        <f>D95+E95</f>
        <v>41</v>
      </c>
      <c r="D95" s="535">
        <v>25</v>
      </c>
      <c r="E95" s="535">
        <v>16</v>
      </c>
      <c r="F95" s="535"/>
      <c r="G95" s="535"/>
      <c r="H95" s="535">
        <f>I95+Q95</f>
        <v>41</v>
      </c>
      <c r="I95" s="535">
        <f>J95+K95+L95+M95+N95+O95+P95</f>
        <v>24</v>
      </c>
      <c r="J95" s="535">
        <v>10</v>
      </c>
      <c r="K95" s="535"/>
      <c r="L95" s="535">
        <v>13</v>
      </c>
      <c r="M95" s="535"/>
      <c r="N95" s="535"/>
      <c r="O95" s="535"/>
      <c r="P95" s="536">
        <v>1</v>
      </c>
      <c r="Q95" s="537">
        <v>17</v>
      </c>
      <c r="R95" s="534">
        <f t="shared" si="24"/>
        <v>31</v>
      </c>
      <c r="S95" s="427">
        <f t="shared" si="25"/>
        <v>41.66666666666667</v>
      </c>
      <c r="T95" s="419">
        <f t="shared" si="26"/>
        <v>0</v>
      </c>
    </row>
    <row r="96" spans="1:20" s="407" customFormat="1" ht="23.25" customHeight="1">
      <c r="A96" s="578">
        <v>12</v>
      </c>
      <c r="B96" s="580" t="s">
        <v>512</v>
      </c>
      <c r="C96" s="585">
        <f>SUM(C97:C98)</f>
        <v>430</v>
      </c>
      <c r="D96" s="585">
        <f aca="true" t="shared" si="30" ref="D96:Q96">SUM(D97:D98)</f>
        <v>162</v>
      </c>
      <c r="E96" s="585">
        <f t="shared" si="30"/>
        <v>268</v>
      </c>
      <c r="F96" s="585">
        <f t="shared" si="30"/>
        <v>0</v>
      </c>
      <c r="G96" s="585">
        <f t="shared" si="30"/>
        <v>0</v>
      </c>
      <c r="H96" s="585">
        <f t="shared" si="30"/>
        <v>430</v>
      </c>
      <c r="I96" s="585">
        <f t="shared" si="30"/>
        <v>303</v>
      </c>
      <c r="J96" s="585">
        <f t="shared" si="30"/>
        <v>250</v>
      </c>
      <c r="K96" s="585">
        <f t="shared" si="30"/>
        <v>7</v>
      </c>
      <c r="L96" s="585">
        <f t="shared" si="30"/>
        <v>46</v>
      </c>
      <c r="M96" s="585">
        <f t="shared" si="30"/>
        <v>0</v>
      </c>
      <c r="N96" s="585">
        <f t="shared" si="30"/>
        <v>0</v>
      </c>
      <c r="O96" s="585">
        <f t="shared" si="30"/>
        <v>0</v>
      </c>
      <c r="P96" s="585">
        <f t="shared" si="30"/>
        <v>0</v>
      </c>
      <c r="Q96" s="585">
        <f t="shared" si="30"/>
        <v>127</v>
      </c>
      <c r="R96" s="572">
        <f t="shared" si="24"/>
        <v>173</v>
      </c>
      <c r="S96" s="573">
        <f t="shared" si="25"/>
        <v>84.81848184818482</v>
      </c>
      <c r="T96" s="574">
        <f t="shared" si="26"/>
        <v>0</v>
      </c>
    </row>
    <row r="97" spans="1:20" s="407" customFormat="1" ht="23.25" customHeight="1">
      <c r="A97" s="557">
        <v>12.1</v>
      </c>
      <c r="B97" s="559" t="s">
        <v>534</v>
      </c>
      <c r="C97" s="538">
        <f>D97+E97</f>
        <v>262</v>
      </c>
      <c r="D97" s="538">
        <v>65</v>
      </c>
      <c r="E97" s="538">
        <v>197</v>
      </c>
      <c r="F97" s="538">
        <v>0</v>
      </c>
      <c r="G97" s="538">
        <v>0</v>
      </c>
      <c r="H97" s="538">
        <f>C97-F97-G97</f>
        <v>262</v>
      </c>
      <c r="I97" s="538">
        <f>H97-Q97</f>
        <v>203</v>
      </c>
      <c r="J97" s="538">
        <v>190</v>
      </c>
      <c r="K97" s="538">
        <v>4</v>
      </c>
      <c r="L97" s="538">
        <v>9</v>
      </c>
      <c r="M97" s="538"/>
      <c r="N97" s="538"/>
      <c r="O97" s="538"/>
      <c r="P97" s="538"/>
      <c r="Q97" s="538">
        <v>59</v>
      </c>
      <c r="R97" s="534">
        <f t="shared" si="24"/>
        <v>68</v>
      </c>
      <c r="S97" s="427">
        <f t="shared" si="25"/>
        <v>95.56650246305419</v>
      </c>
      <c r="T97" s="419">
        <f t="shared" si="26"/>
        <v>0</v>
      </c>
    </row>
    <row r="98" spans="1:20" s="407" customFormat="1" ht="23.25" customHeight="1">
      <c r="A98" s="557">
        <v>12.2</v>
      </c>
      <c r="B98" s="559" t="s">
        <v>513</v>
      </c>
      <c r="C98" s="538">
        <f>D98+E98</f>
        <v>168</v>
      </c>
      <c r="D98" s="538">
        <v>97</v>
      </c>
      <c r="E98" s="538">
        <v>71</v>
      </c>
      <c r="F98" s="538">
        <v>0</v>
      </c>
      <c r="G98" s="538">
        <v>0</v>
      </c>
      <c r="H98" s="538">
        <f>C98-F98-G98</f>
        <v>168</v>
      </c>
      <c r="I98" s="538">
        <f>H98-Q98</f>
        <v>100</v>
      </c>
      <c r="J98" s="538">
        <v>60</v>
      </c>
      <c r="K98" s="538">
        <v>3</v>
      </c>
      <c r="L98" s="538">
        <v>37</v>
      </c>
      <c r="M98" s="538">
        <v>0</v>
      </c>
      <c r="N98" s="538"/>
      <c r="O98" s="538"/>
      <c r="P98" s="538"/>
      <c r="Q98" s="538">
        <v>68</v>
      </c>
      <c r="R98" s="534">
        <f t="shared" si="24"/>
        <v>105</v>
      </c>
      <c r="S98" s="427">
        <f t="shared" si="25"/>
        <v>63</v>
      </c>
      <c r="T98" s="419">
        <f t="shared" si="26"/>
        <v>0</v>
      </c>
    </row>
    <row r="99" spans="1:20" s="407" customFormat="1" ht="23.25" customHeight="1">
      <c r="A99" s="578">
        <v>13</v>
      </c>
      <c r="B99" s="580" t="s">
        <v>514</v>
      </c>
      <c r="C99" s="583">
        <f>SUM(C100:C112)</f>
        <v>2953</v>
      </c>
      <c r="D99" s="583">
        <f aca="true" t="shared" si="31" ref="D99:Q99">SUM(D100:D112)</f>
        <v>1873</v>
      </c>
      <c r="E99" s="583">
        <f t="shared" si="31"/>
        <v>1080</v>
      </c>
      <c r="F99" s="583">
        <f t="shared" si="31"/>
        <v>5</v>
      </c>
      <c r="G99" s="583">
        <f t="shared" si="31"/>
        <v>0</v>
      </c>
      <c r="H99" s="583">
        <f t="shared" si="31"/>
        <v>2948</v>
      </c>
      <c r="I99" s="583">
        <f t="shared" si="31"/>
        <v>1692</v>
      </c>
      <c r="J99" s="583">
        <f t="shared" si="31"/>
        <v>808</v>
      </c>
      <c r="K99" s="583">
        <f t="shared" si="31"/>
        <v>17</v>
      </c>
      <c r="L99" s="583">
        <f t="shared" si="31"/>
        <v>867</v>
      </c>
      <c r="M99" s="583">
        <f t="shared" si="31"/>
        <v>0</v>
      </c>
      <c r="N99" s="583">
        <f t="shared" si="31"/>
        <v>0</v>
      </c>
      <c r="O99" s="583">
        <f t="shared" si="31"/>
        <v>0</v>
      </c>
      <c r="P99" s="583">
        <f t="shared" si="31"/>
        <v>0</v>
      </c>
      <c r="Q99" s="583">
        <f t="shared" si="31"/>
        <v>1256</v>
      </c>
      <c r="R99" s="572">
        <f t="shared" si="24"/>
        <v>2123</v>
      </c>
      <c r="S99" s="573">
        <f t="shared" si="25"/>
        <v>48.758865248226954</v>
      </c>
      <c r="T99" s="574">
        <f t="shared" si="26"/>
        <v>0</v>
      </c>
    </row>
    <row r="100" spans="1:20" s="407" customFormat="1" ht="23.25" customHeight="1">
      <c r="A100" s="557">
        <v>13.1</v>
      </c>
      <c r="B100" s="564" t="s">
        <v>593</v>
      </c>
      <c r="C100" s="535">
        <f>D100+E100</f>
        <v>259</v>
      </c>
      <c r="D100" s="535">
        <v>27</v>
      </c>
      <c r="E100" s="535">
        <v>232</v>
      </c>
      <c r="F100" s="535">
        <v>3</v>
      </c>
      <c r="G100" s="535">
        <v>0</v>
      </c>
      <c r="H100" s="535">
        <f>I100+Q100</f>
        <v>256</v>
      </c>
      <c r="I100" s="535">
        <f>J100+K100+L100+M100+N100+O100+P100</f>
        <v>245</v>
      </c>
      <c r="J100" s="535">
        <v>190</v>
      </c>
      <c r="K100" s="535">
        <v>0</v>
      </c>
      <c r="L100" s="535">
        <v>55</v>
      </c>
      <c r="M100" s="535">
        <v>0</v>
      </c>
      <c r="N100" s="535">
        <v>0</v>
      </c>
      <c r="O100" s="535">
        <v>0</v>
      </c>
      <c r="P100" s="535">
        <v>0</v>
      </c>
      <c r="Q100" s="537">
        <v>11</v>
      </c>
      <c r="R100" s="534">
        <f t="shared" si="24"/>
        <v>66</v>
      </c>
      <c r="S100" s="427">
        <f t="shared" si="25"/>
        <v>77.55102040816327</v>
      </c>
      <c r="T100" s="419">
        <f t="shared" si="26"/>
        <v>0</v>
      </c>
    </row>
    <row r="101" spans="1:20" s="407" customFormat="1" ht="23.25" customHeight="1">
      <c r="A101" s="557">
        <v>13.2</v>
      </c>
      <c r="B101" s="564" t="s">
        <v>515</v>
      </c>
      <c r="C101" s="535">
        <f aca="true" t="shared" si="32" ref="C101:C112">D101+E101</f>
        <v>152</v>
      </c>
      <c r="D101" s="535">
        <v>83</v>
      </c>
      <c r="E101" s="535">
        <v>69</v>
      </c>
      <c r="F101" s="535">
        <v>2</v>
      </c>
      <c r="G101" s="535">
        <v>0</v>
      </c>
      <c r="H101" s="535">
        <f aca="true" t="shared" si="33" ref="H101:H112">I101+Q101</f>
        <v>150</v>
      </c>
      <c r="I101" s="535">
        <f>J101+K101+L101+M101+N101+O101+P101</f>
        <v>98</v>
      </c>
      <c r="J101" s="535">
        <v>61</v>
      </c>
      <c r="K101" s="535">
        <v>0</v>
      </c>
      <c r="L101" s="535">
        <v>37</v>
      </c>
      <c r="M101" s="535">
        <v>0</v>
      </c>
      <c r="N101" s="535">
        <v>0</v>
      </c>
      <c r="O101" s="535">
        <v>0</v>
      </c>
      <c r="P101" s="535">
        <v>0</v>
      </c>
      <c r="Q101" s="537">
        <v>52</v>
      </c>
      <c r="R101" s="534">
        <f t="shared" si="24"/>
        <v>89</v>
      </c>
      <c r="S101" s="427">
        <f t="shared" si="25"/>
        <v>62.244897959183675</v>
      </c>
      <c r="T101" s="419">
        <f t="shared" si="26"/>
        <v>0</v>
      </c>
    </row>
    <row r="102" spans="1:20" s="407" customFormat="1" ht="23.25" customHeight="1">
      <c r="A102" s="557">
        <v>13.3</v>
      </c>
      <c r="B102" s="564" t="s">
        <v>594</v>
      </c>
      <c r="C102" s="535">
        <f t="shared" si="32"/>
        <v>374</v>
      </c>
      <c r="D102" s="535">
        <v>245</v>
      </c>
      <c r="E102" s="535">
        <v>129</v>
      </c>
      <c r="F102" s="535">
        <v>0</v>
      </c>
      <c r="G102" s="535">
        <v>0</v>
      </c>
      <c r="H102" s="535">
        <f t="shared" si="33"/>
        <v>374</v>
      </c>
      <c r="I102" s="535">
        <f aca="true" t="shared" si="34" ref="I102:I112">J102+K102+L102+M102+N102+O102+P102</f>
        <v>206</v>
      </c>
      <c r="J102" s="535">
        <v>82</v>
      </c>
      <c r="K102" s="535">
        <v>1</v>
      </c>
      <c r="L102" s="535">
        <v>123</v>
      </c>
      <c r="M102" s="535">
        <v>0</v>
      </c>
      <c r="N102" s="535">
        <v>0</v>
      </c>
      <c r="O102" s="535">
        <v>0</v>
      </c>
      <c r="P102" s="535">
        <v>0</v>
      </c>
      <c r="Q102" s="537">
        <v>168</v>
      </c>
      <c r="R102" s="534">
        <f t="shared" si="24"/>
        <v>291</v>
      </c>
      <c r="S102" s="427">
        <f t="shared" si="25"/>
        <v>40.29126213592233</v>
      </c>
      <c r="T102" s="419">
        <f t="shared" si="26"/>
        <v>0</v>
      </c>
    </row>
    <row r="103" spans="1:20" s="407" customFormat="1" ht="23.25" customHeight="1">
      <c r="A103" s="557">
        <v>13.4</v>
      </c>
      <c r="B103" s="570" t="s">
        <v>595</v>
      </c>
      <c r="C103" s="535">
        <f t="shared" si="32"/>
        <v>260</v>
      </c>
      <c r="D103" s="535">
        <v>173</v>
      </c>
      <c r="E103" s="535">
        <v>87</v>
      </c>
      <c r="F103" s="535">
        <v>0</v>
      </c>
      <c r="G103" s="535">
        <v>0</v>
      </c>
      <c r="H103" s="535">
        <f>I103+Q103</f>
        <v>260</v>
      </c>
      <c r="I103" s="535">
        <f t="shared" si="34"/>
        <v>131</v>
      </c>
      <c r="J103" s="535">
        <v>64</v>
      </c>
      <c r="K103" s="535">
        <v>2</v>
      </c>
      <c r="L103" s="535">
        <v>65</v>
      </c>
      <c r="M103" s="535">
        <v>0</v>
      </c>
      <c r="N103" s="535">
        <v>0</v>
      </c>
      <c r="O103" s="535">
        <v>0</v>
      </c>
      <c r="P103" s="535">
        <v>0</v>
      </c>
      <c r="Q103" s="537">
        <v>129</v>
      </c>
      <c r="R103" s="534">
        <f t="shared" si="24"/>
        <v>194</v>
      </c>
      <c r="S103" s="427">
        <f t="shared" si="25"/>
        <v>50.38167938931297</v>
      </c>
      <c r="T103" s="419">
        <f t="shared" si="26"/>
        <v>0</v>
      </c>
    </row>
    <row r="104" spans="1:20" s="407" customFormat="1" ht="23.25" customHeight="1">
      <c r="A104" s="557">
        <v>13.5</v>
      </c>
      <c r="B104" s="571" t="s">
        <v>546</v>
      </c>
      <c r="C104" s="535">
        <f>D104+E104</f>
        <v>193</v>
      </c>
      <c r="D104" s="535">
        <v>123</v>
      </c>
      <c r="E104" s="535">
        <v>70</v>
      </c>
      <c r="F104" s="535">
        <v>0</v>
      </c>
      <c r="G104" s="535">
        <v>0</v>
      </c>
      <c r="H104" s="535">
        <f t="shared" si="33"/>
        <v>193</v>
      </c>
      <c r="I104" s="535">
        <f t="shared" si="34"/>
        <v>115</v>
      </c>
      <c r="J104" s="535">
        <v>52</v>
      </c>
      <c r="K104" s="535">
        <v>0</v>
      </c>
      <c r="L104" s="535">
        <v>63</v>
      </c>
      <c r="M104" s="535">
        <v>0</v>
      </c>
      <c r="N104" s="535">
        <v>0</v>
      </c>
      <c r="O104" s="535">
        <v>0</v>
      </c>
      <c r="P104" s="535">
        <v>0</v>
      </c>
      <c r="Q104" s="537">
        <v>78</v>
      </c>
      <c r="R104" s="534">
        <f t="shared" si="24"/>
        <v>141</v>
      </c>
      <c r="S104" s="427">
        <f t="shared" si="25"/>
        <v>45.21739130434783</v>
      </c>
      <c r="T104" s="419">
        <f t="shared" si="26"/>
        <v>0</v>
      </c>
    </row>
    <row r="105" spans="1:20" s="407" customFormat="1" ht="23.25" customHeight="1">
      <c r="A105" s="557">
        <v>13.6</v>
      </c>
      <c r="B105" s="571" t="s">
        <v>596</v>
      </c>
      <c r="C105" s="535">
        <f t="shared" si="32"/>
        <v>211</v>
      </c>
      <c r="D105" s="535">
        <v>162</v>
      </c>
      <c r="E105" s="535">
        <v>49</v>
      </c>
      <c r="F105" s="535">
        <v>0</v>
      </c>
      <c r="G105" s="535">
        <v>0</v>
      </c>
      <c r="H105" s="535">
        <f t="shared" si="33"/>
        <v>211</v>
      </c>
      <c r="I105" s="535">
        <f t="shared" si="34"/>
        <v>115</v>
      </c>
      <c r="J105" s="535">
        <v>51</v>
      </c>
      <c r="K105" s="535">
        <v>6</v>
      </c>
      <c r="L105" s="535">
        <v>58</v>
      </c>
      <c r="M105" s="535">
        <v>0</v>
      </c>
      <c r="N105" s="535">
        <v>0</v>
      </c>
      <c r="O105" s="535">
        <v>0</v>
      </c>
      <c r="P105" s="535">
        <v>0</v>
      </c>
      <c r="Q105" s="537">
        <v>96</v>
      </c>
      <c r="R105" s="534">
        <f t="shared" si="24"/>
        <v>154</v>
      </c>
      <c r="S105" s="427">
        <f t="shared" si="25"/>
        <v>49.56521739130435</v>
      </c>
      <c r="T105" s="419">
        <f t="shared" si="26"/>
        <v>0</v>
      </c>
    </row>
    <row r="106" spans="1:20" s="407" customFormat="1" ht="23.25" customHeight="1">
      <c r="A106" s="557">
        <v>13.7</v>
      </c>
      <c r="B106" s="571" t="s">
        <v>597</v>
      </c>
      <c r="C106" s="535">
        <f t="shared" si="32"/>
        <v>245</v>
      </c>
      <c r="D106" s="535">
        <v>153</v>
      </c>
      <c r="E106" s="535">
        <v>92</v>
      </c>
      <c r="F106" s="535">
        <v>0</v>
      </c>
      <c r="G106" s="535">
        <v>0</v>
      </c>
      <c r="H106" s="535">
        <f t="shared" si="33"/>
        <v>245</v>
      </c>
      <c r="I106" s="535">
        <f>J106+K106+L106+M106+N106+O106+P106</f>
        <v>144</v>
      </c>
      <c r="J106" s="535">
        <v>79</v>
      </c>
      <c r="K106" s="535">
        <v>2</v>
      </c>
      <c r="L106" s="535">
        <v>63</v>
      </c>
      <c r="M106" s="535">
        <v>0</v>
      </c>
      <c r="N106" s="535">
        <v>0</v>
      </c>
      <c r="O106" s="535">
        <v>0</v>
      </c>
      <c r="P106" s="535">
        <v>0</v>
      </c>
      <c r="Q106" s="537">
        <v>101</v>
      </c>
      <c r="R106" s="534">
        <f t="shared" si="24"/>
        <v>164</v>
      </c>
      <c r="S106" s="427">
        <f t="shared" si="25"/>
        <v>56.25</v>
      </c>
      <c r="T106" s="419">
        <f t="shared" si="26"/>
        <v>0</v>
      </c>
    </row>
    <row r="107" spans="1:20" s="407" customFormat="1" ht="23.25" customHeight="1">
      <c r="A107" s="557">
        <v>13.8</v>
      </c>
      <c r="B107" s="564" t="s">
        <v>547</v>
      </c>
      <c r="C107" s="535">
        <f t="shared" si="32"/>
        <v>214</v>
      </c>
      <c r="D107" s="535">
        <v>152</v>
      </c>
      <c r="E107" s="535">
        <v>62</v>
      </c>
      <c r="F107" s="535">
        <v>0</v>
      </c>
      <c r="G107" s="535">
        <v>0</v>
      </c>
      <c r="H107" s="535">
        <f t="shared" si="33"/>
        <v>214</v>
      </c>
      <c r="I107" s="535">
        <f t="shared" si="34"/>
        <v>103</v>
      </c>
      <c r="J107" s="535">
        <v>45</v>
      </c>
      <c r="K107" s="535">
        <v>0</v>
      </c>
      <c r="L107" s="535">
        <v>58</v>
      </c>
      <c r="M107" s="535">
        <v>0</v>
      </c>
      <c r="N107" s="535">
        <v>0</v>
      </c>
      <c r="O107" s="535">
        <v>0</v>
      </c>
      <c r="P107" s="535">
        <v>0</v>
      </c>
      <c r="Q107" s="537">
        <v>111</v>
      </c>
      <c r="R107" s="534">
        <f t="shared" si="24"/>
        <v>169</v>
      </c>
      <c r="S107" s="427">
        <f t="shared" si="25"/>
        <v>43.689320388349515</v>
      </c>
      <c r="T107" s="419">
        <f t="shared" si="26"/>
        <v>0</v>
      </c>
    </row>
    <row r="108" spans="1:20" s="407" customFormat="1" ht="23.25" customHeight="1">
      <c r="A108" s="557">
        <v>13.9</v>
      </c>
      <c r="B108" s="563" t="s">
        <v>598</v>
      </c>
      <c r="C108" s="535">
        <f t="shared" si="32"/>
        <v>275</v>
      </c>
      <c r="D108" s="535">
        <v>224</v>
      </c>
      <c r="E108" s="535">
        <v>51</v>
      </c>
      <c r="F108" s="535">
        <v>0</v>
      </c>
      <c r="G108" s="535">
        <v>0</v>
      </c>
      <c r="H108" s="535">
        <f t="shared" si="33"/>
        <v>275</v>
      </c>
      <c r="I108" s="535">
        <f t="shared" si="34"/>
        <v>176</v>
      </c>
      <c r="J108" s="535">
        <v>42</v>
      </c>
      <c r="K108" s="535">
        <v>0</v>
      </c>
      <c r="L108" s="535">
        <v>134</v>
      </c>
      <c r="M108" s="535">
        <v>0</v>
      </c>
      <c r="N108" s="535">
        <v>0</v>
      </c>
      <c r="O108" s="535">
        <v>0</v>
      </c>
      <c r="P108" s="535">
        <v>0</v>
      </c>
      <c r="Q108" s="537">
        <v>99</v>
      </c>
      <c r="R108" s="534">
        <f t="shared" si="24"/>
        <v>233</v>
      </c>
      <c r="S108" s="427">
        <f t="shared" si="25"/>
        <v>23.863636363636363</v>
      </c>
      <c r="T108" s="419">
        <f t="shared" si="26"/>
        <v>0</v>
      </c>
    </row>
    <row r="109" spans="1:20" s="407" customFormat="1" ht="23.25" customHeight="1">
      <c r="A109" s="557" t="s">
        <v>562</v>
      </c>
      <c r="B109" s="564" t="s">
        <v>462</v>
      </c>
      <c r="C109" s="535">
        <f t="shared" si="32"/>
        <v>164</v>
      </c>
      <c r="D109" s="535">
        <v>104</v>
      </c>
      <c r="E109" s="535">
        <v>60</v>
      </c>
      <c r="F109" s="535">
        <v>0</v>
      </c>
      <c r="G109" s="535">
        <v>0</v>
      </c>
      <c r="H109" s="535">
        <f t="shared" si="33"/>
        <v>164</v>
      </c>
      <c r="I109" s="535">
        <f t="shared" si="34"/>
        <v>95</v>
      </c>
      <c r="J109" s="535">
        <v>48</v>
      </c>
      <c r="K109" s="535">
        <v>0</v>
      </c>
      <c r="L109" s="535">
        <v>47</v>
      </c>
      <c r="M109" s="535">
        <v>0</v>
      </c>
      <c r="N109" s="535">
        <v>0</v>
      </c>
      <c r="O109" s="535">
        <v>0</v>
      </c>
      <c r="P109" s="535">
        <v>0</v>
      </c>
      <c r="Q109" s="537">
        <v>69</v>
      </c>
      <c r="R109" s="534">
        <f t="shared" si="24"/>
        <v>116</v>
      </c>
      <c r="S109" s="427">
        <f t="shared" si="25"/>
        <v>50.526315789473685</v>
      </c>
      <c r="T109" s="419">
        <f t="shared" si="26"/>
        <v>0</v>
      </c>
    </row>
    <row r="110" spans="1:20" s="407" customFormat="1" ht="23.25" customHeight="1">
      <c r="A110" s="557" t="s">
        <v>548</v>
      </c>
      <c r="B110" s="564" t="s">
        <v>599</v>
      </c>
      <c r="C110" s="535">
        <f t="shared" si="32"/>
        <v>155</v>
      </c>
      <c r="D110" s="535">
        <v>105</v>
      </c>
      <c r="E110" s="535">
        <v>50</v>
      </c>
      <c r="F110" s="535">
        <v>0</v>
      </c>
      <c r="G110" s="535">
        <v>0</v>
      </c>
      <c r="H110" s="535">
        <f t="shared" si="33"/>
        <v>155</v>
      </c>
      <c r="I110" s="535">
        <f t="shared" si="34"/>
        <v>66</v>
      </c>
      <c r="J110" s="535">
        <v>36</v>
      </c>
      <c r="K110" s="535">
        <v>2</v>
      </c>
      <c r="L110" s="535">
        <v>28</v>
      </c>
      <c r="M110" s="535">
        <v>0</v>
      </c>
      <c r="N110" s="535">
        <v>0</v>
      </c>
      <c r="O110" s="535">
        <v>0</v>
      </c>
      <c r="P110" s="535">
        <v>0</v>
      </c>
      <c r="Q110" s="537">
        <v>89</v>
      </c>
      <c r="R110" s="534">
        <f t="shared" si="24"/>
        <v>117</v>
      </c>
      <c r="S110" s="427">
        <f t="shared" si="25"/>
        <v>57.57575757575758</v>
      </c>
      <c r="T110" s="419">
        <f t="shared" si="26"/>
        <v>0</v>
      </c>
    </row>
    <row r="111" spans="1:20" s="407" customFormat="1" ht="23.25" customHeight="1">
      <c r="A111" s="557" t="s">
        <v>552</v>
      </c>
      <c r="B111" s="564" t="s">
        <v>563</v>
      </c>
      <c r="C111" s="535">
        <f>D111+E111</f>
        <v>252</v>
      </c>
      <c r="D111" s="535">
        <v>175</v>
      </c>
      <c r="E111" s="535">
        <v>77</v>
      </c>
      <c r="F111" s="535">
        <v>0</v>
      </c>
      <c r="G111" s="535">
        <v>0</v>
      </c>
      <c r="H111" s="535">
        <f t="shared" si="33"/>
        <v>252</v>
      </c>
      <c r="I111" s="535">
        <f t="shared" si="34"/>
        <v>114</v>
      </c>
      <c r="J111" s="535">
        <v>38</v>
      </c>
      <c r="K111" s="535">
        <v>3</v>
      </c>
      <c r="L111" s="535">
        <v>73</v>
      </c>
      <c r="M111" s="535">
        <v>0</v>
      </c>
      <c r="N111" s="535">
        <v>0</v>
      </c>
      <c r="O111" s="535">
        <v>0</v>
      </c>
      <c r="P111" s="535">
        <v>0</v>
      </c>
      <c r="Q111" s="537">
        <v>138</v>
      </c>
      <c r="R111" s="534">
        <f t="shared" si="24"/>
        <v>211</v>
      </c>
      <c r="S111" s="427">
        <f t="shared" si="25"/>
        <v>35.96491228070175</v>
      </c>
      <c r="T111" s="419">
        <f t="shared" si="26"/>
        <v>0</v>
      </c>
    </row>
    <row r="112" spans="1:20" s="407" customFormat="1" ht="23.25" customHeight="1">
      <c r="A112" s="557" t="s">
        <v>564</v>
      </c>
      <c r="B112" s="564" t="s">
        <v>565</v>
      </c>
      <c r="C112" s="535">
        <f t="shared" si="32"/>
        <v>199</v>
      </c>
      <c r="D112" s="535">
        <v>147</v>
      </c>
      <c r="E112" s="535">
        <v>52</v>
      </c>
      <c r="F112" s="535">
        <v>0</v>
      </c>
      <c r="G112" s="535">
        <v>0</v>
      </c>
      <c r="H112" s="535">
        <f t="shared" si="33"/>
        <v>199</v>
      </c>
      <c r="I112" s="535">
        <f t="shared" si="34"/>
        <v>84</v>
      </c>
      <c r="J112" s="535">
        <v>20</v>
      </c>
      <c r="K112" s="535">
        <v>1</v>
      </c>
      <c r="L112" s="535">
        <v>63</v>
      </c>
      <c r="M112" s="535">
        <v>0</v>
      </c>
      <c r="N112" s="535">
        <v>0</v>
      </c>
      <c r="O112" s="535">
        <v>0</v>
      </c>
      <c r="P112" s="535">
        <v>0</v>
      </c>
      <c r="Q112" s="537">
        <v>115</v>
      </c>
      <c r="R112" s="534">
        <f t="shared" si="24"/>
        <v>178</v>
      </c>
      <c r="S112" s="427">
        <f t="shared" si="25"/>
        <v>25</v>
      </c>
      <c r="T112" s="419">
        <f t="shared" si="26"/>
        <v>0</v>
      </c>
    </row>
    <row r="113" spans="1:20" s="407" customFormat="1" ht="23.25" customHeight="1">
      <c r="A113" s="578">
        <v>14</v>
      </c>
      <c r="B113" s="580" t="s">
        <v>516</v>
      </c>
      <c r="C113" s="585">
        <f>SUM(C114:C118)</f>
        <v>582</v>
      </c>
      <c r="D113" s="585">
        <f>D114+D115+D116+D117+D118</f>
        <v>247</v>
      </c>
      <c r="E113" s="585">
        <f>E114+E115+E116+E117+E118</f>
        <v>335</v>
      </c>
      <c r="F113" s="585">
        <f aca="true" t="shared" si="35" ref="F113:Q113">F114+F115+F116+F117+F118</f>
        <v>11</v>
      </c>
      <c r="G113" s="585">
        <f t="shared" si="35"/>
        <v>0</v>
      </c>
      <c r="H113" s="585">
        <f t="shared" si="35"/>
        <v>571</v>
      </c>
      <c r="I113" s="585">
        <f t="shared" si="35"/>
        <v>461</v>
      </c>
      <c r="J113" s="585">
        <f t="shared" si="35"/>
        <v>240</v>
      </c>
      <c r="K113" s="585">
        <f t="shared" si="35"/>
        <v>5</v>
      </c>
      <c r="L113" s="585">
        <f t="shared" si="35"/>
        <v>216</v>
      </c>
      <c r="M113" s="585">
        <f t="shared" si="35"/>
        <v>0</v>
      </c>
      <c r="N113" s="585">
        <f t="shared" si="35"/>
        <v>0</v>
      </c>
      <c r="O113" s="585">
        <f t="shared" si="35"/>
        <v>0</v>
      </c>
      <c r="P113" s="585">
        <f t="shared" si="35"/>
        <v>0</v>
      </c>
      <c r="Q113" s="585">
        <f t="shared" si="35"/>
        <v>110</v>
      </c>
      <c r="R113" s="572">
        <f t="shared" si="24"/>
        <v>326</v>
      </c>
      <c r="S113" s="573">
        <f t="shared" si="25"/>
        <v>53.14533622559653</v>
      </c>
      <c r="T113" s="574">
        <f t="shared" si="26"/>
        <v>0</v>
      </c>
    </row>
    <row r="114" spans="1:20" s="407" customFormat="1" ht="23.25" customHeight="1">
      <c r="A114" s="562" t="s">
        <v>517</v>
      </c>
      <c r="B114" s="559" t="s">
        <v>518</v>
      </c>
      <c r="C114" s="529">
        <f>D114+E114</f>
        <v>69</v>
      </c>
      <c r="D114" s="530" t="s">
        <v>81</v>
      </c>
      <c r="E114" s="530" t="s">
        <v>602</v>
      </c>
      <c r="F114" s="530" t="s">
        <v>82</v>
      </c>
      <c r="G114" s="530" t="s">
        <v>535</v>
      </c>
      <c r="H114" s="529">
        <f>I114+Q114</f>
        <v>58</v>
      </c>
      <c r="I114" s="529">
        <f>P114+O114+N114+M114+L114+K114+J114</f>
        <v>58</v>
      </c>
      <c r="J114" s="530" t="s">
        <v>603</v>
      </c>
      <c r="K114" s="530" t="s">
        <v>44</v>
      </c>
      <c r="L114" s="529" t="s">
        <v>56</v>
      </c>
      <c r="M114" s="530" t="s">
        <v>535</v>
      </c>
      <c r="N114" s="530" t="s">
        <v>535</v>
      </c>
      <c r="O114" s="531" t="s">
        <v>535</v>
      </c>
      <c r="P114" s="532" t="s">
        <v>535</v>
      </c>
      <c r="Q114" s="532">
        <v>0</v>
      </c>
      <c r="R114" s="534">
        <f t="shared" si="24"/>
        <v>0</v>
      </c>
      <c r="S114" s="427">
        <f t="shared" si="25"/>
        <v>93.10344827586206</v>
      </c>
      <c r="T114" s="419">
        <f t="shared" si="26"/>
        <v>0</v>
      </c>
    </row>
    <row r="115" spans="1:20" s="407" customFormat="1" ht="23.25" customHeight="1">
      <c r="A115" s="562" t="s">
        <v>519</v>
      </c>
      <c r="B115" s="559" t="s">
        <v>520</v>
      </c>
      <c r="C115" s="529">
        <f>D115+E115</f>
        <v>198</v>
      </c>
      <c r="D115" s="530" t="s">
        <v>566</v>
      </c>
      <c r="E115" s="530" t="s">
        <v>604</v>
      </c>
      <c r="F115" s="530" t="s">
        <v>535</v>
      </c>
      <c r="G115" s="530" t="s">
        <v>535</v>
      </c>
      <c r="H115" s="529">
        <f>I115+Q115</f>
        <v>198</v>
      </c>
      <c r="I115" s="529">
        <f>P115+O115+N115+M115+L115+K115+J115</f>
        <v>172</v>
      </c>
      <c r="J115" s="530" t="s">
        <v>605</v>
      </c>
      <c r="K115" s="530" t="s">
        <v>47</v>
      </c>
      <c r="L115" s="530" t="s">
        <v>606</v>
      </c>
      <c r="M115" s="530" t="s">
        <v>535</v>
      </c>
      <c r="N115" s="530" t="s">
        <v>535</v>
      </c>
      <c r="O115" s="531" t="s">
        <v>535</v>
      </c>
      <c r="P115" s="532" t="s">
        <v>535</v>
      </c>
      <c r="Q115" s="532">
        <v>26</v>
      </c>
      <c r="R115" s="534">
        <f t="shared" si="24"/>
        <v>26</v>
      </c>
      <c r="S115" s="427">
        <f t="shared" si="25"/>
        <v>55.81395348837209</v>
      </c>
      <c r="T115" s="419">
        <f t="shared" si="26"/>
        <v>0</v>
      </c>
    </row>
    <row r="116" spans="1:20" s="407" customFormat="1" ht="23.25" customHeight="1">
      <c r="A116" s="562" t="s">
        <v>567</v>
      </c>
      <c r="B116" s="559" t="s">
        <v>568</v>
      </c>
      <c r="C116" s="529">
        <f>D116+E116</f>
        <v>132</v>
      </c>
      <c r="D116" s="530" t="s">
        <v>572</v>
      </c>
      <c r="E116" s="530" t="s">
        <v>589</v>
      </c>
      <c r="F116" s="530" t="s">
        <v>535</v>
      </c>
      <c r="G116" s="530" t="s">
        <v>535</v>
      </c>
      <c r="H116" s="529">
        <f>I116+Q116</f>
        <v>132</v>
      </c>
      <c r="I116" s="529">
        <f>P116+O116+N116+M116+L116+K116+J116</f>
        <v>106</v>
      </c>
      <c r="J116" s="530" t="s">
        <v>603</v>
      </c>
      <c r="K116" s="530" t="s">
        <v>535</v>
      </c>
      <c r="L116" s="530" t="s">
        <v>607</v>
      </c>
      <c r="M116" s="530" t="s">
        <v>535</v>
      </c>
      <c r="N116" s="530" t="s">
        <v>535</v>
      </c>
      <c r="O116" s="531" t="s">
        <v>535</v>
      </c>
      <c r="P116" s="532" t="s">
        <v>535</v>
      </c>
      <c r="Q116" s="532">
        <v>26</v>
      </c>
      <c r="R116" s="534">
        <f t="shared" si="24"/>
        <v>26</v>
      </c>
      <c r="S116" s="427">
        <f t="shared" si="25"/>
        <v>49.056603773584904</v>
      </c>
      <c r="T116" s="419">
        <f t="shared" si="26"/>
        <v>0</v>
      </c>
    </row>
    <row r="117" spans="1:20" s="407" customFormat="1" ht="23.25" customHeight="1">
      <c r="A117" s="562" t="s">
        <v>570</v>
      </c>
      <c r="B117" s="559" t="s">
        <v>571</v>
      </c>
      <c r="C117" s="529">
        <f>D117+E117</f>
        <v>101</v>
      </c>
      <c r="D117" s="530" t="s">
        <v>569</v>
      </c>
      <c r="E117" s="530" t="s">
        <v>572</v>
      </c>
      <c r="F117" s="530" t="s">
        <v>535</v>
      </c>
      <c r="G117" s="530" t="s">
        <v>535</v>
      </c>
      <c r="H117" s="529">
        <f>I117+Q117</f>
        <v>101</v>
      </c>
      <c r="I117" s="529">
        <f>P117+O117+N117+M117+L117+K117+J117</f>
        <v>75</v>
      </c>
      <c r="J117" s="530" t="s">
        <v>608</v>
      </c>
      <c r="K117" s="530" t="s">
        <v>535</v>
      </c>
      <c r="L117" s="530" t="s">
        <v>609</v>
      </c>
      <c r="M117" s="530" t="s">
        <v>535</v>
      </c>
      <c r="N117" s="530" t="s">
        <v>535</v>
      </c>
      <c r="O117" s="531" t="s">
        <v>535</v>
      </c>
      <c r="P117" s="532" t="s">
        <v>535</v>
      </c>
      <c r="Q117" s="532">
        <v>26</v>
      </c>
      <c r="R117" s="534">
        <f t="shared" si="24"/>
        <v>26</v>
      </c>
      <c r="S117" s="427">
        <f t="shared" si="25"/>
        <v>44</v>
      </c>
      <c r="T117" s="419">
        <f t="shared" si="26"/>
        <v>0</v>
      </c>
    </row>
    <row r="118" spans="1:20" s="407" customFormat="1" ht="23.25" customHeight="1">
      <c r="A118" s="562" t="s">
        <v>587</v>
      </c>
      <c r="B118" s="559" t="s">
        <v>588</v>
      </c>
      <c r="C118" s="529">
        <f>D118+E118</f>
        <v>82</v>
      </c>
      <c r="D118" s="530" t="s">
        <v>573</v>
      </c>
      <c r="E118" s="530" t="s">
        <v>608</v>
      </c>
      <c r="F118" s="533" t="s">
        <v>535</v>
      </c>
      <c r="G118" s="530" t="s">
        <v>535</v>
      </c>
      <c r="H118" s="529">
        <f>I118+Q118</f>
        <v>82</v>
      </c>
      <c r="I118" s="529">
        <f>P118+O118+N118+M118+L118+K118+J118</f>
        <v>50</v>
      </c>
      <c r="J118" s="530" t="s">
        <v>81</v>
      </c>
      <c r="K118" s="530" t="s">
        <v>535</v>
      </c>
      <c r="L118" s="530" t="s">
        <v>569</v>
      </c>
      <c r="M118" s="530" t="s">
        <v>535</v>
      </c>
      <c r="N118" s="530" t="s">
        <v>535</v>
      </c>
      <c r="O118" s="531" t="s">
        <v>535</v>
      </c>
      <c r="P118" s="532" t="s">
        <v>535</v>
      </c>
      <c r="Q118" s="532">
        <v>32</v>
      </c>
      <c r="R118" s="534">
        <f t="shared" si="24"/>
        <v>32</v>
      </c>
      <c r="S118" s="427">
        <f t="shared" si="25"/>
        <v>20</v>
      </c>
      <c r="T118" s="419">
        <f t="shared" si="26"/>
        <v>0</v>
      </c>
    </row>
    <row r="119" spans="1:20" s="407" customFormat="1" ht="23.25" customHeight="1">
      <c r="A119" s="578">
        <v>15</v>
      </c>
      <c r="B119" s="580" t="s">
        <v>521</v>
      </c>
      <c r="C119" s="581">
        <f>SUM(C120:C123)</f>
        <v>365</v>
      </c>
      <c r="D119" s="581">
        <f aca="true" t="shared" si="36" ref="D119:Q119">SUM(D120:D123)</f>
        <v>168</v>
      </c>
      <c r="E119" s="581">
        <f t="shared" si="36"/>
        <v>197</v>
      </c>
      <c r="F119" s="581">
        <f t="shared" si="36"/>
        <v>4</v>
      </c>
      <c r="G119" s="581">
        <f t="shared" si="36"/>
        <v>0</v>
      </c>
      <c r="H119" s="581">
        <f t="shared" si="36"/>
        <v>361</v>
      </c>
      <c r="I119" s="581">
        <f t="shared" si="36"/>
        <v>245</v>
      </c>
      <c r="J119" s="581">
        <f t="shared" si="36"/>
        <v>124</v>
      </c>
      <c r="K119" s="581">
        <f t="shared" si="36"/>
        <v>1</v>
      </c>
      <c r="L119" s="581">
        <f t="shared" si="36"/>
        <v>120</v>
      </c>
      <c r="M119" s="581">
        <f t="shared" si="36"/>
        <v>0</v>
      </c>
      <c r="N119" s="581">
        <f t="shared" si="36"/>
        <v>0</v>
      </c>
      <c r="O119" s="581">
        <f t="shared" si="36"/>
        <v>0</v>
      </c>
      <c r="P119" s="581">
        <f t="shared" si="36"/>
        <v>0</v>
      </c>
      <c r="Q119" s="581">
        <f t="shared" si="36"/>
        <v>116</v>
      </c>
      <c r="R119" s="572">
        <f t="shared" si="24"/>
        <v>236</v>
      </c>
      <c r="S119" s="573">
        <f t="shared" si="25"/>
        <v>51.02040816326531</v>
      </c>
      <c r="T119" s="574">
        <f t="shared" si="26"/>
        <v>0</v>
      </c>
    </row>
    <row r="120" spans="1:20" s="407" customFormat="1" ht="23.25" customHeight="1">
      <c r="A120" s="557">
        <v>15.1</v>
      </c>
      <c r="B120" s="565" t="s">
        <v>522</v>
      </c>
      <c r="C120" s="546">
        <f>D120+E120</f>
        <v>61</v>
      </c>
      <c r="D120" s="546">
        <v>20</v>
      </c>
      <c r="E120" s="546">
        <v>41</v>
      </c>
      <c r="F120" s="546">
        <v>1</v>
      </c>
      <c r="G120" s="546">
        <v>0</v>
      </c>
      <c r="H120" s="546">
        <f>I120+Q120</f>
        <v>60</v>
      </c>
      <c r="I120" s="546">
        <f>J120+K120+L120+M120+N120+O120+P120</f>
        <v>50</v>
      </c>
      <c r="J120" s="546">
        <v>35</v>
      </c>
      <c r="K120" s="546">
        <v>0</v>
      </c>
      <c r="L120" s="546">
        <f>C120-F120-J120-K120-M120-N120-O120-P120-Q120</f>
        <v>15</v>
      </c>
      <c r="M120" s="546">
        <v>0</v>
      </c>
      <c r="N120" s="546">
        <v>0</v>
      </c>
      <c r="O120" s="546">
        <v>0</v>
      </c>
      <c r="P120" s="546">
        <v>0</v>
      </c>
      <c r="Q120" s="551">
        <v>10</v>
      </c>
      <c r="R120" s="534">
        <f t="shared" si="24"/>
        <v>25</v>
      </c>
      <c r="S120" s="427">
        <f t="shared" si="25"/>
        <v>70</v>
      </c>
      <c r="T120" s="419">
        <f t="shared" si="26"/>
        <v>0</v>
      </c>
    </row>
    <row r="121" spans="1:20" s="407" customFormat="1" ht="23.25" customHeight="1">
      <c r="A121" s="557">
        <v>15.2</v>
      </c>
      <c r="B121" s="565" t="s">
        <v>549</v>
      </c>
      <c r="C121" s="546">
        <f>D121+E121</f>
        <v>120</v>
      </c>
      <c r="D121" s="546">
        <v>61</v>
      </c>
      <c r="E121" s="546">
        <v>59</v>
      </c>
      <c r="F121" s="546">
        <v>0</v>
      </c>
      <c r="G121" s="546">
        <v>0</v>
      </c>
      <c r="H121" s="546">
        <f>I121+Q121</f>
        <v>120</v>
      </c>
      <c r="I121" s="546">
        <f>J121+K121+L121+M121+N121+O121+P121</f>
        <v>77</v>
      </c>
      <c r="J121" s="546">
        <v>34</v>
      </c>
      <c r="K121" s="546">
        <v>0</v>
      </c>
      <c r="L121" s="546">
        <f>C121-F121-J121-K121-M121-N121-O121-P121-Q121</f>
        <v>43</v>
      </c>
      <c r="M121" s="546">
        <v>0</v>
      </c>
      <c r="N121" s="546">
        <v>0</v>
      </c>
      <c r="O121" s="546" t="s">
        <v>535</v>
      </c>
      <c r="P121" s="546" t="s">
        <v>535</v>
      </c>
      <c r="Q121" s="551">
        <v>43</v>
      </c>
      <c r="R121" s="534">
        <f t="shared" si="24"/>
        <v>86</v>
      </c>
      <c r="S121" s="427">
        <f t="shared" si="25"/>
        <v>44.15584415584416</v>
      </c>
      <c r="T121" s="419">
        <f t="shared" si="26"/>
        <v>0</v>
      </c>
    </row>
    <row r="122" spans="1:20" s="407" customFormat="1" ht="23.25" customHeight="1">
      <c r="A122" s="557">
        <v>15.3</v>
      </c>
      <c r="B122" s="565" t="s">
        <v>550</v>
      </c>
      <c r="C122" s="546">
        <f>D122+E122</f>
        <v>103</v>
      </c>
      <c r="D122" s="546">
        <v>41</v>
      </c>
      <c r="E122" s="546">
        <v>62</v>
      </c>
      <c r="F122" s="546">
        <v>0</v>
      </c>
      <c r="G122" s="546">
        <v>0</v>
      </c>
      <c r="H122" s="546">
        <f>I122+Q122</f>
        <v>103</v>
      </c>
      <c r="I122" s="546">
        <f>J122+K122+L122+M122+N122+O122+P122</f>
        <v>70</v>
      </c>
      <c r="J122" s="546">
        <v>29</v>
      </c>
      <c r="K122" s="546">
        <v>1</v>
      </c>
      <c r="L122" s="546">
        <f>C122-F122-J122-K122-M122-N122-O122-P122-Q122</f>
        <v>40</v>
      </c>
      <c r="M122" s="546">
        <v>0</v>
      </c>
      <c r="N122" s="546">
        <v>0</v>
      </c>
      <c r="O122" s="546">
        <v>0</v>
      </c>
      <c r="P122" s="546">
        <v>0</v>
      </c>
      <c r="Q122" s="551">
        <v>33</v>
      </c>
      <c r="R122" s="534">
        <f t="shared" si="24"/>
        <v>73</v>
      </c>
      <c r="S122" s="427">
        <f t="shared" si="25"/>
        <v>42.857142857142854</v>
      </c>
      <c r="T122" s="419">
        <f t="shared" si="26"/>
        <v>0</v>
      </c>
    </row>
    <row r="123" spans="1:20" s="407" customFormat="1" ht="23.25" customHeight="1">
      <c r="A123" s="557">
        <v>15.4</v>
      </c>
      <c r="B123" s="565" t="s">
        <v>551</v>
      </c>
      <c r="C123" s="546">
        <f>D123+E123</f>
        <v>81</v>
      </c>
      <c r="D123" s="546">
        <v>46</v>
      </c>
      <c r="E123" s="546">
        <v>35</v>
      </c>
      <c r="F123" s="546">
        <v>3</v>
      </c>
      <c r="G123" s="546">
        <v>0</v>
      </c>
      <c r="H123" s="546">
        <f>I123+Q123</f>
        <v>78</v>
      </c>
      <c r="I123" s="546">
        <f>J123+K123+L123+M123+N123+O123+P123</f>
        <v>48</v>
      </c>
      <c r="J123" s="546">
        <v>26</v>
      </c>
      <c r="K123" s="546">
        <v>0</v>
      </c>
      <c r="L123" s="546">
        <f>C123-F123-J123-K123-M123-N123-O123-P123-Q123</f>
        <v>22</v>
      </c>
      <c r="M123" s="546">
        <v>0</v>
      </c>
      <c r="N123" s="546">
        <v>0</v>
      </c>
      <c r="O123" s="546" t="s">
        <v>535</v>
      </c>
      <c r="P123" s="546" t="s">
        <v>535</v>
      </c>
      <c r="Q123" s="551">
        <v>30</v>
      </c>
      <c r="R123" s="534">
        <f t="shared" si="24"/>
        <v>52</v>
      </c>
      <c r="S123" s="427">
        <f t="shared" si="25"/>
        <v>54.166666666666664</v>
      </c>
      <c r="T123" s="419">
        <f t="shared" si="26"/>
        <v>0</v>
      </c>
    </row>
    <row r="124" spans="1:20" s="407" customFormat="1" ht="23.25" customHeight="1">
      <c r="A124" s="465"/>
      <c r="B124" s="466"/>
      <c r="C124" s="467"/>
      <c r="D124" s="468"/>
      <c r="E124" s="468"/>
      <c r="F124" s="468"/>
      <c r="G124" s="468"/>
      <c r="H124" s="469"/>
      <c r="I124" s="469"/>
      <c r="J124" s="468"/>
      <c r="K124" s="468"/>
      <c r="L124" s="469"/>
      <c r="M124" s="468"/>
      <c r="N124" s="932" t="s">
        <v>620</v>
      </c>
      <c r="O124" s="932"/>
      <c r="P124" s="932"/>
      <c r="Q124" s="932"/>
      <c r="R124" s="932"/>
      <c r="S124" s="932"/>
      <c r="T124" s="419"/>
    </row>
    <row r="125" spans="1:20" s="379" customFormat="1" ht="19.5" customHeight="1">
      <c r="A125" s="428"/>
      <c r="B125" s="923" t="s">
        <v>4</v>
      </c>
      <c r="C125" s="923"/>
      <c r="D125" s="923"/>
      <c r="E125" s="923"/>
      <c r="F125" s="453"/>
      <c r="G125" s="453"/>
      <c r="H125" s="453"/>
      <c r="I125" s="453"/>
      <c r="J125" s="453"/>
      <c r="K125" s="453"/>
      <c r="L125" s="453"/>
      <c r="M125" s="453"/>
      <c r="N125" s="930" t="str">
        <f>'Thong tin'!B7</f>
        <v>
PHÓ CỤC TRƯỞNG</v>
      </c>
      <c r="O125" s="930"/>
      <c r="P125" s="930"/>
      <c r="Q125" s="930"/>
      <c r="R125" s="930"/>
      <c r="S125" s="930"/>
      <c r="T125" s="430"/>
    </row>
    <row r="126" spans="1:19" ht="18.75">
      <c r="A126" s="386"/>
      <c r="B126" s="936"/>
      <c r="C126" s="936"/>
      <c r="D126" s="936"/>
      <c r="E126" s="387"/>
      <c r="F126" s="387"/>
      <c r="G126" s="387"/>
      <c r="H126" s="408"/>
      <c r="I126" s="408"/>
      <c r="J126" s="387"/>
      <c r="K126" s="387"/>
      <c r="L126" s="387"/>
      <c r="M126" s="387"/>
      <c r="N126" s="934"/>
      <c r="O126" s="934"/>
      <c r="P126" s="934"/>
      <c r="Q126" s="934"/>
      <c r="R126" s="934"/>
      <c r="S126" s="934"/>
    </row>
    <row r="127" spans="1:19" ht="18.75">
      <c r="A127" s="386"/>
      <c r="B127" s="386"/>
      <c r="C127" s="409"/>
      <c r="D127" s="387"/>
      <c r="E127" s="387"/>
      <c r="F127" s="387"/>
      <c r="G127" s="387"/>
      <c r="H127" s="408"/>
      <c r="I127" s="408"/>
      <c r="J127" s="387"/>
      <c r="K127" s="387"/>
      <c r="L127" s="387"/>
      <c r="M127" s="387"/>
      <c r="N127" s="387"/>
      <c r="O127" s="387"/>
      <c r="P127" s="387"/>
      <c r="Q127" s="408"/>
      <c r="R127" s="409"/>
      <c r="S127" s="385"/>
    </row>
    <row r="128" spans="1:19" ht="18.75">
      <c r="A128" s="386"/>
      <c r="B128" s="934"/>
      <c r="C128" s="934"/>
      <c r="D128" s="934"/>
      <c r="E128" s="934"/>
      <c r="F128" s="387"/>
      <c r="G128" s="387"/>
      <c r="H128" s="408"/>
      <c r="I128" s="408"/>
      <c r="J128" s="387"/>
      <c r="K128" s="387"/>
      <c r="L128" s="387"/>
      <c r="M128" s="387"/>
      <c r="N128" s="387"/>
      <c r="O128" s="387"/>
      <c r="P128" s="934"/>
      <c r="Q128" s="934"/>
      <c r="R128" s="934"/>
      <c r="S128" s="385"/>
    </row>
    <row r="129" spans="1:19" ht="15.75" customHeight="1">
      <c r="A129" s="410"/>
      <c r="B129" s="386"/>
      <c r="C129" s="409"/>
      <c r="D129" s="387"/>
      <c r="E129" s="387"/>
      <c r="F129" s="387"/>
      <c r="G129" s="387"/>
      <c r="H129" s="408"/>
      <c r="I129" s="408"/>
      <c r="J129" s="387"/>
      <c r="K129" s="387"/>
      <c r="L129" s="387"/>
      <c r="M129" s="387"/>
      <c r="N129" s="387"/>
      <c r="O129" s="387"/>
      <c r="P129" s="387"/>
      <c r="Q129" s="408"/>
      <c r="R129" s="409"/>
      <c r="S129" s="385"/>
    </row>
    <row r="130" spans="1:19" ht="15.75" customHeight="1">
      <c r="A130" s="386"/>
      <c r="B130" s="935"/>
      <c r="C130" s="935"/>
      <c r="D130" s="935"/>
      <c r="E130" s="935"/>
      <c r="F130" s="935"/>
      <c r="G130" s="935"/>
      <c r="H130" s="935"/>
      <c r="I130" s="935"/>
      <c r="J130" s="935"/>
      <c r="K130" s="935"/>
      <c r="L130" s="935"/>
      <c r="M130" s="935"/>
      <c r="N130" s="935"/>
      <c r="O130" s="935"/>
      <c r="P130" s="387"/>
      <c r="Q130" s="408"/>
      <c r="R130" s="409"/>
      <c r="S130" s="385"/>
    </row>
    <row r="131" spans="1:19" ht="18.75">
      <c r="A131" s="392"/>
      <c r="B131" s="392"/>
      <c r="C131" s="411"/>
      <c r="D131" s="388"/>
      <c r="E131" s="388"/>
      <c r="F131" s="388"/>
      <c r="G131" s="388"/>
      <c r="H131" s="411"/>
      <c r="I131" s="411"/>
      <c r="J131" s="388"/>
      <c r="K131" s="388"/>
      <c r="L131" s="388"/>
      <c r="M131" s="388"/>
      <c r="N131" s="388"/>
      <c r="O131" s="388"/>
      <c r="P131" s="388"/>
      <c r="Q131" s="409"/>
      <c r="R131" s="409"/>
      <c r="S131" s="385"/>
    </row>
    <row r="132" spans="1:19" ht="18.75">
      <c r="A132" s="386"/>
      <c r="B132" s="386"/>
      <c r="C132" s="409"/>
      <c r="D132" s="385"/>
      <c r="E132" s="385"/>
      <c r="F132" s="385"/>
      <c r="G132" s="385"/>
      <c r="H132" s="409"/>
      <c r="I132" s="409"/>
      <c r="J132" s="385"/>
      <c r="K132" s="385"/>
      <c r="L132" s="385"/>
      <c r="M132" s="385"/>
      <c r="N132" s="385"/>
      <c r="O132" s="385"/>
      <c r="P132" s="385"/>
      <c r="Q132" s="409"/>
      <c r="R132" s="409"/>
      <c r="S132" s="385"/>
    </row>
    <row r="133" spans="1:19" ht="18.75">
      <c r="A133" s="386"/>
      <c r="B133" s="933" t="str">
        <f>'Thong tin'!B5</f>
        <v>Trần Thị Minh</v>
      </c>
      <c r="C133" s="933"/>
      <c r="D133" s="933"/>
      <c r="E133" s="933"/>
      <c r="F133" s="385"/>
      <c r="G133" s="385"/>
      <c r="H133" s="409"/>
      <c r="I133" s="409"/>
      <c r="J133" s="385"/>
      <c r="K133" s="385"/>
      <c r="L133" s="385"/>
      <c r="M133" s="385"/>
      <c r="N133" s="933" t="str">
        <f>'Thong tin'!B6</f>
        <v>Nguyễn Thị Mai Hoa</v>
      </c>
      <c r="O133" s="933"/>
      <c r="P133" s="933"/>
      <c r="Q133" s="933"/>
      <c r="R133" s="933"/>
      <c r="S133" s="933"/>
    </row>
    <row r="134" spans="2:19" ht="18.75">
      <c r="B134" s="393"/>
      <c r="C134" s="403"/>
      <c r="D134" s="380"/>
      <c r="E134" s="380"/>
      <c r="F134" s="380"/>
      <c r="G134" s="380"/>
      <c r="H134" s="403"/>
      <c r="I134" s="403"/>
      <c r="J134" s="380"/>
      <c r="K134" s="380"/>
      <c r="L134" s="380"/>
      <c r="M134" s="380"/>
      <c r="N134" s="380"/>
      <c r="O134" s="380"/>
      <c r="P134" s="380"/>
      <c r="Q134" s="403"/>
      <c r="R134" s="403"/>
      <c r="S134" s="380"/>
    </row>
  </sheetData>
  <sheetProtection/>
  <mergeCells count="35">
    <mergeCell ref="C7:C9"/>
    <mergeCell ref="N133:S133"/>
    <mergeCell ref="N126:S126"/>
    <mergeCell ref="B130:O130"/>
    <mergeCell ref="B126:D126"/>
    <mergeCell ref="B128:E128"/>
    <mergeCell ref="P128:R128"/>
    <mergeCell ref="B133:E133"/>
    <mergeCell ref="D7:E7"/>
    <mergeCell ref="D8:D9"/>
    <mergeCell ref="N125:S125"/>
    <mergeCell ref="I8:I9"/>
    <mergeCell ref="S6:S9"/>
    <mergeCell ref="I7:P7"/>
    <mergeCell ref="N124:S124"/>
    <mergeCell ref="A10:B10"/>
    <mergeCell ref="B125:E125"/>
    <mergeCell ref="A11:B11"/>
    <mergeCell ref="E1:O1"/>
    <mergeCell ref="E2:O2"/>
    <mergeCell ref="E3:O3"/>
    <mergeCell ref="F6:F9"/>
    <mergeCell ref="G6:G9"/>
    <mergeCell ref="H6:Q6"/>
    <mergeCell ref="C6:E6"/>
    <mergeCell ref="P4:S4"/>
    <mergeCell ref="H7:H9"/>
    <mergeCell ref="Q7:Q9"/>
    <mergeCell ref="A2:D2"/>
    <mergeCell ref="P2:S2"/>
    <mergeCell ref="A3:D3"/>
    <mergeCell ref="R6:R9"/>
    <mergeCell ref="E8:E9"/>
    <mergeCell ref="J8:P8"/>
    <mergeCell ref="A6:B9"/>
  </mergeCells>
  <conditionalFormatting sqref="C93:C94">
    <cfRule type="expression" priority="3" dxfId="0" stopIfTrue="1">
      <formula>$C$16&lt;&gt;$F$16+$H$16</formula>
    </cfRule>
  </conditionalFormatting>
  <conditionalFormatting sqref="I93:I94">
    <cfRule type="expression" priority="2" dxfId="0" stopIfTrue="1">
      <formula>$I$16&lt;&gt;SUM($J$16:$P$16)</formula>
    </cfRule>
  </conditionalFormatting>
  <conditionalFormatting sqref="H93:H94">
    <cfRule type="expression" priority="1" dxfId="0" stopIfTrue="1">
      <formula>$H$16&lt;&gt;$I$16+$Q$16</formula>
    </cfRule>
  </conditionalFormatting>
  <printOptions/>
  <pageMargins left="0.3937007874015748" right="0" top="0" bottom="0" header="0.4330708661417323" footer="0.2755905511811024"/>
  <pageSetup horizontalDpi="600" verticalDpi="600" orientation="landscape" paperSize="9" scale="88" r:id="rId2"/>
  <headerFooter differentFirst="1" alignWithMargins="0">
    <oddFooter>&amp;C&amp;P</oddFooter>
  </headerFooter>
  <ignoredErrors>
    <ignoredError sqref="A67:A123 A61 D115:H118 A33:A58 D114:G114 A13:A31" numberStoredAsText="1"/>
    <ignoredError sqref="C97:H98 C92 C113 C96 D96:H96 C77:H79 D113:G113 D92:H92" unlockedFormula="1"/>
    <ignoredError sqref="C99 H113 C67 C119 C80:H80 I114:Q114 I115:Q118 O121:Q123 I77:Q79 I113:Q113 I96:Q96 I97:Q98 I92:Q92 I80:M80 I51:Q51 I45:Q45 N80:O80 I49:J49" formula="1" unlockedFormula="1"/>
    <ignoredError sqref="C76 H119 C45:H45 C51:H51 C49:H49" formula="1"/>
    <ignoredError sqref="R50:S50 R46:S48 R81:S91 R18:S44 R49:S49 R52:S76 R93:S95 R13:S17 R45:S45 R51:S51 R77:S79 R80:S80 R92:S92 R99:S112 R96:S98 R119:S120 R113:S118 R121:S123 O119:Q120 I119:N123 I81:M91 I99:Q112 I93:Q95 N81:O91 I52:Q76 I18:Q44 P80:Q91 K46:Q50 I46:J48 I50:J50" formulaRange="1"/>
    <ignoredError sqref="I114:Q114 I115:Q118 O121:Q123" numberStoredAsText="1" formulaRange="1"/>
    <ignoredError sqref="I77:Q79 I113:Q113 I96:Q96 I97:Q98 I92:Q92" formulaRange="1" unlockedFormula="1"/>
    <ignoredError sqref="I80:M80" formula="1" formulaRange="1" unlockedFormula="1"/>
    <ignoredError sqref="I51:Q51 I45:Q45 N80:O80 I49:J49" formula="1" formulaRange="1"/>
  </ignoredErrors>
  <drawing r:id="rId1"/>
</worksheet>
</file>

<file path=xl/worksheets/sheet14.xml><?xml version="1.0" encoding="utf-8"?>
<worksheet xmlns="http://schemas.openxmlformats.org/spreadsheetml/2006/main" xmlns:r="http://schemas.openxmlformats.org/officeDocument/2006/relationships">
  <sheetPr>
    <tabColor indexed="19"/>
  </sheetPr>
  <dimension ref="A1:AI172"/>
  <sheetViews>
    <sheetView showZeros="0" tabSelected="1" view="pageBreakPreview" zoomScale="90" zoomScaleNormal="85" zoomScaleSheetLayoutView="90" zoomScalePageLayoutView="0" workbookViewId="0" topLeftCell="A1">
      <selection activeCell="U1" sqref="U1:U16384"/>
    </sheetView>
  </sheetViews>
  <sheetFormatPr defaultColWidth="9.00390625" defaultRowHeight="15.75"/>
  <cols>
    <col min="1" max="1" width="4.375" style="394" customWidth="1"/>
    <col min="2" max="2" width="16.25390625" style="448" customWidth="1"/>
    <col min="3" max="3" width="9.50390625" style="401" customWidth="1"/>
    <col min="4" max="4" width="11.125" style="606" customWidth="1"/>
    <col min="5" max="5" width="9.875" style="398" customWidth="1"/>
    <col min="6" max="6" width="8.125" style="398" customWidth="1"/>
    <col min="7" max="7" width="8.875" style="398" customWidth="1"/>
    <col min="8" max="8" width="9.375" style="401" customWidth="1"/>
    <col min="9" max="9" width="10.25390625" style="401" customWidth="1"/>
    <col min="10" max="10" width="9.50390625" style="398" customWidth="1"/>
    <col min="11" max="11" width="8.50390625" style="398" customWidth="1"/>
    <col min="12" max="12" width="5.875" style="398" customWidth="1"/>
    <col min="13" max="13" width="10.00390625" style="398" customWidth="1"/>
    <col min="14" max="14" width="7.50390625" style="398" customWidth="1"/>
    <col min="15" max="15" width="8.625" style="398" customWidth="1"/>
    <col min="16" max="16" width="6.375" style="398" customWidth="1"/>
    <col min="17" max="17" width="8.625" style="398" customWidth="1"/>
    <col min="18" max="18" width="9.75390625" style="401" customWidth="1"/>
    <col min="19" max="19" width="10.375" style="401" customWidth="1"/>
    <col min="20" max="20" width="6.75390625" style="404" customWidth="1"/>
    <col min="21" max="21" width="9.00390625" style="412" customWidth="1"/>
    <col min="22" max="16384" width="9.00390625" style="394" customWidth="1"/>
  </cols>
  <sheetData>
    <row r="1" spans="1:21" ht="20.25" customHeight="1">
      <c r="A1" s="457" t="s">
        <v>28</v>
      </c>
      <c r="B1" s="429"/>
      <c r="C1" s="441"/>
      <c r="D1" s="586"/>
      <c r="E1" s="955" t="s">
        <v>64</v>
      </c>
      <c r="F1" s="955"/>
      <c r="G1" s="955"/>
      <c r="H1" s="955"/>
      <c r="I1" s="955"/>
      <c r="J1" s="955"/>
      <c r="K1" s="955"/>
      <c r="L1" s="955"/>
      <c r="M1" s="955"/>
      <c r="N1" s="955"/>
      <c r="O1" s="955"/>
      <c r="P1" s="955"/>
      <c r="Q1" s="443" t="s">
        <v>429</v>
      </c>
      <c r="R1" s="443"/>
      <c r="S1" s="443"/>
      <c r="T1" s="444"/>
      <c r="U1" s="432"/>
    </row>
    <row r="2" spans="1:21" ht="17.25" customHeight="1">
      <c r="A2" s="960" t="s">
        <v>238</v>
      </c>
      <c r="B2" s="960"/>
      <c r="C2" s="960"/>
      <c r="D2" s="960"/>
      <c r="E2" s="956" t="s">
        <v>34</v>
      </c>
      <c r="F2" s="956"/>
      <c r="G2" s="956"/>
      <c r="H2" s="956"/>
      <c r="I2" s="956"/>
      <c r="J2" s="956"/>
      <c r="K2" s="956"/>
      <c r="L2" s="956"/>
      <c r="M2" s="956"/>
      <c r="N2" s="956"/>
      <c r="O2" s="956"/>
      <c r="P2" s="956"/>
      <c r="Q2" s="961" t="str">
        <f>'[8]Thong tin'!B4</f>
        <v>CTHADS Hải Phòng</v>
      </c>
      <c r="R2" s="961"/>
      <c r="S2" s="961"/>
      <c r="T2" s="961"/>
      <c r="U2" s="432"/>
    </row>
    <row r="3" spans="1:21" ht="18" customHeight="1">
      <c r="A3" s="960" t="s">
        <v>239</v>
      </c>
      <c r="B3" s="960"/>
      <c r="C3" s="960"/>
      <c r="D3" s="960"/>
      <c r="E3" s="957" t="s">
        <v>619</v>
      </c>
      <c r="F3" s="955"/>
      <c r="G3" s="955"/>
      <c r="H3" s="955"/>
      <c r="I3" s="955"/>
      <c r="J3" s="955"/>
      <c r="K3" s="955"/>
      <c r="L3" s="955"/>
      <c r="M3" s="955"/>
      <c r="N3" s="955"/>
      <c r="O3" s="955"/>
      <c r="P3" s="955"/>
      <c r="Q3" s="443" t="s">
        <v>530</v>
      </c>
      <c r="R3" s="441"/>
      <c r="S3" s="443"/>
      <c r="T3" s="444"/>
      <c r="U3" s="432"/>
    </row>
    <row r="4" spans="1:21" ht="14.25" customHeight="1">
      <c r="A4" s="457" t="s">
        <v>117</v>
      </c>
      <c r="B4" s="429"/>
      <c r="C4" s="441"/>
      <c r="D4" s="586"/>
      <c r="E4" s="441"/>
      <c r="F4" s="441"/>
      <c r="G4" s="441"/>
      <c r="H4" s="441"/>
      <c r="I4" s="441"/>
      <c r="J4" s="441"/>
      <c r="K4" s="441"/>
      <c r="L4" s="441"/>
      <c r="M4" s="441"/>
      <c r="N4" s="441"/>
      <c r="O4" s="441"/>
      <c r="P4" s="441"/>
      <c r="Q4" s="962" t="s">
        <v>301</v>
      </c>
      <c r="R4" s="962"/>
      <c r="S4" s="962"/>
      <c r="T4" s="962"/>
      <c r="U4" s="432"/>
    </row>
    <row r="5" spans="1:21" ht="21.75" customHeight="1" thickBot="1">
      <c r="A5" s="457"/>
      <c r="B5" s="429"/>
      <c r="C5" s="441"/>
      <c r="D5" s="586"/>
      <c r="E5" s="441"/>
      <c r="F5" s="441"/>
      <c r="G5" s="441"/>
      <c r="H5" s="441"/>
      <c r="I5" s="441"/>
      <c r="J5" s="441"/>
      <c r="K5" s="441"/>
      <c r="L5" s="441"/>
      <c r="M5" s="441"/>
      <c r="N5" s="441"/>
      <c r="O5" s="441"/>
      <c r="P5" s="441"/>
      <c r="Q5" s="954" t="s">
        <v>430</v>
      </c>
      <c r="R5" s="954"/>
      <c r="S5" s="954"/>
      <c r="T5" s="954"/>
      <c r="U5" s="432"/>
    </row>
    <row r="6" spans="1:35" ht="18.75" customHeight="1" thickTop="1">
      <c r="A6" s="937" t="s">
        <v>55</v>
      </c>
      <c r="B6" s="938"/>
      <c r="C6" s="949" t="s">
        <v>118</v>
      </c>
      <c r="D6" s="949"/>
      <c r="E6" s="949"/>
      <c r="F6" s="950" t="s">
        <v>99</v>
      </c>
      <c r="G6" s="950" t="s">
        <v>119</v>
      </c>
      <c r="H6" s="947" t="s">
        <v>100</v>
      </c>
      <c r="I6" s="947"/>
      <c r="J6" s="947"/>
      <c r="K6" s="947"/>
      <c r="L6" s="947"/>
      <c r="M6" s="947"/>
      <c r="N6" s="947"/>
      <c r="O6" s="947"/>
      <c r="P6" s="947"/>
      <c r="Q6" s="947"/>
      <c r="R6" s="947"/>
      <c r="S6" s="949" t="s">
        <v>243</v>
      </c>
      <c r="T6" s="958" t="s">
        <v>428</v>
      </c>
      <c r="U6" s="433"/>
      <c r="V6" s="395"/>
      <c r="W6" s="395"/>
      <c r="X6" s="395"/>
      <c r="Y6" s="395"/>
      <c r="Z6" s="395"/>
      <c r="AA6" s="395"/>
      <c r="AB6" s="395"/>
      <c r="AC6" s="395"/>
      <c r="AD6" s="395"/>
      <c r="AE6" s="395"/>
      <c r="AF6" s="395"/>
      <c r="AG6" s="395"/>
      <c r="AH6" s="395"/>
      <c r="AI6" s="395"/>
    </row>
    <row r="7" spans="1:35" s="396" customFormat="1" ht="21" customHeight="1">
      <c r="A7" s="939"/>
      <c r="B7" s="940"/>
      <c r="C7" s="948" t="s">
        <v>42</v>
      </c>
      <c r="D7" s="948" t="s">
        <v>7</v>
      </c>
      <c r="E7" s="948"/>
      <c r="F7" s="951"/>
      <c r="G7" s="951"/>
      <c r="H7" s="951" t="s">
        <v>100</v>
      </c>
      <c r="I7" s="948" t="s">
        <v>101</v>
      </c>
      <c r="J7" s="948"/>
      <c r="K7" s="948"/>
      <c r="L7" s="948"/>
      <c r="M7" s="948"/>
      <c r="N7" s="948"/>
      <c r="O7" s="948"/>
      <c r="P7" s="948"/>
      <c r="Q7" s="948"/>
      <c r="R7" s="951" t="s">
        <v>120</v>
      </c>
      <c r="S7" s="948"/>
      <c r="T7" s="959"/>
      <c r="U7" s="433"/>
      <c r="V7" s="395"/>
      <c r="W7" s="395"/>
      <c r="X7" s="395"/>
      <c r="Y7" s="395"/>
      <c r="Z7" s="395"/>
      <c r="AA7" s="395"/>
      <c r="AB7" s="395"/>
      <c r="AC7" s="395"/>
      <c r="AD7" s="395"/>
      <c r="AE7" s="395"/>
      <c r="AF7" s="395"/>
      <c r="AG7" s="395"/>
      <c r="AH7" s="395"/>
      <c r="AI7" s="395"/>
    </row>
    <row r="8" spans="1:35" ht="17.25" customHeight="1">
      <c r="A8" s="939"/>
      <c r="B8" s="940"/>
      <c r="C8" s="948"/>
      <c r="D8" s="948" t="s">
        <v>121</v>
      </c>
      <c r="E8" s="948" t="s">
        <v>122</v>
      </c>
      <c r="F8" s="951"/>
      <c r="G8" s="951"/>
      <c r="H8" s="951"/>
      <c r="I8" s="951" t="s">
        <v>427</v>
      </c>
      <c r="J8" s="948" t="s">
        <v>7</v>
      </c>
      <c r="K8" s="948"/>
      <c r="L8" s="948"/>
      <c r="M8" s="948"/>
      <c r="N8" s="948"/>
      <c r="O8" s="948"/>
      <c r="P8" s="948"/>
      <c r="Q8" s="948"/>
      <c r="R8" s="951"/>
      <c r="S8" s="948"/>
      <c r="T8" s="959"/>
      <c r="U8" s="433"/>
      <c r="V8" s="395"/>
      <c r="W8" s="395"/>
      <c r="X8" s="395"/>
      <c r="Y8" s="395"/>
      <c r="Z8" s="395"/>
      <c r="AA8" s="395"/>
      <c r="AB8" s="395"/>
      <c r="AC8" s="395"/>
      <c r="AD8" s="395"/>
      <c r="AE8" s="395"/>
      <c r="AF8" s="395"/>
      <c r="AG8" s="395"/>
      <c r="AH8" s="395"/>
      <c r="AI8" s="395"/>
    </row>
    <row r="9" spans="1:35" ht="60.75" customHeight="1">
      <c r="A9" s="939"/>
      <c r="B9" s="940"/>
      <c r="C9" s="948"/>
      <c r="D9" s="948"/>
      <c r="E9" s="948"/>
      <c r="F9" s="951"/>
      <c r="G9" s="951"/>
      <c r="H9" s="951"/>
      <c r="I9" s="951"/>
      <c r="J9" s="456" t="s">
        <v>123</v>
      </c>
      <c r="K9" s="456" t="s">
        <v>124</v>
      </c>
      <c r="L9" s="456" t="s">
        <v>116</v>
      </c>
      <c r="M9" s="455" t="s">
        <v>103</v>
      </c>
      <c r="N9" s="455" t="s">
        <v>125</v>
      </c>
      <c r="O9" s="455" t="s">
        <v>106</v>
      </c>
      <c r="P9" s="455" t="s">
        <v>244</v>
      </c>
      <c r="Q9" s="455" t="s">
        <v>109</v>
      </c>
      <c r="R9" s="951"/>
      <c r="S9" s="948"/>
      <c r="T9" s="959"/>
      <c r="U9" s="433"/>
      <c r="V9" s="395"/>
      <c r="W9" s="395"/>
      <c r="X9" s="395"/>
      <c r="Y9" s="395"/>
      <c r="Z9" s="395"/>
      <c r="AA9" s="395"/>
      <c r="AB9" s="395"/>
      <c r="AC9" s="395"/>
      <c r="AD9" s="395"/>
      <c r="AE9" s="395"/>
      <c r="AF9" s="395"/>
      <c r="AG9" s="395"/>
      <c r="AH9" s="395"/>
      <c r="AI9" s="395"/>
    </row>
    <row r="10" spans="1:21" ht="16.5" customHeight="1">
      <c r="A10" s="952" t="s">
        <v>6</v>
      </c>
      <c r="B10" s="953"/>
      <c r="C10" s="434">
        <v>1</v>
      </c>
      <c r="D10" s="434">
        <v>2</v>
      </c>
      <c r="E10" s="434">
        <v>3</v>
      </c>
      <c r="F10" s="434">
        <v>4</v>
      </c>
      <c r="G10" s="434">
        <v>5</v>
      </c>
      <c r="H10" s="434">
        <v>6</v>
      </c>
      <c r="I10" s="434">
        <v>7</v>
      </c>
      <c r="J10" s="434">
        <v>8</v>
      </c>
      <c r="K10" s="434">
        <v>9</v>
      </c>
      <c r="L10" s="434" t="s">
        <v>81</v>
      </c>
      <c r="M10" s="434" t="s">
        <v>82</v>
      </c>
      <c r="N10" s="434" t="s">
        <v>83</v>
      </c>
      <c r="O10" s="434" t="s">
        <v>84</v>
      </c>
      <c r="P10" s="434" t="s">
        <v>85</v>
      </c>
      <c r="Q10" s="434" t="s">
        <v>246</v>
      </c>
      <c r="R10" s="434" t="s">
        <v>247</v>
      </c>
      <c r="S10" s="434" t="s">
        <v>248</v>
      </c>
      <c r="T10" s="435" t="s">
        <v>249</v>
      </c>
      <c r="U10" s="432"/>
    </row>
    <row r="11" spans="1:21" s="445" customFormat="1" ht="30.75" customHeight="1">
      <c r="A11" s="942" t="s">
        <v>30</v>
      </c>
      <c r="B11" s="943"/>
      <c r="C11" s="514">
        <f>C12+C33</f>
        <v>6826509977</v>
      </c>
      <c r="D11" s="587">
        <f aca="true" t="shared" si="0" ref="D11:S11">D12+D33</f>
        <v>3207574728</v>
      </c>
      <c r="E11" s="514">
        <f t="shared" si="0"/>
        <v>3618935249</v>
      </c>
      <c r="F11" s="514">
        <f t="shared" si="0"/>
        <v>189702386</v>
      </c>
      <c r="G11" s="514">
        <f t="shared" si="0"/>
        <v>1841843658</v>
      </c>
      <c r="H11" s="514">
        <f t="shared" si="0"/>
        <v>6636807591</v>
      </c>
      <c r="I11" s="514">
        <f t="shared" si="0"/>
        <v>4950474254</v>
      </c>
      <c r="J11" s="514">
        <f t="shared" si="0"/>
        <v>244369423</v>
      </c>
      <c r="K11" s="514">
        <f t="shared" si="0"/>
        <v>197496437</v>
      </c>
      <c r="L11" s="514">
        <f t="shared" si="0"/>
        <v>50869</v>
      </c>
      <c r="M11" s="514">
        <f t="shared" si="0"/>
        <v>4481459019</v>
      </c>
      <c r="N11" s="514">
        <f t="shared" si="0"/>
        <v>381189</v>
      </c>
      <c r="O11" s="514">
        <f t="shared" si="0"/>
        <v>25066694</v>
      </c>
      <c r="P11" s="514">
        <f t="shared" si="0"/>
        <v>0</v>
      </c>
      <c r="Q11" s="514">
        <f t="shared" si="0"/>
        <v>1650623</v>
      </c>
      <c r="R11" s="514">
        <f t="shared" si="0"/>
        <v>1686333337</v>
      </c>
      <c r="S11" s="514">
        <f t="shared" si="0"/>
        <v>6194890862</v>
      </c>
      <c r="T11" s="512">
        <f>(J11+K11+L11)/I11*100</f>
        <v>8.926755424350096</v>
      </c>
      <c r="U11" s="513">
        <f>C11-F11-H11</f>
        <v>0</v>
      </c>
    </row>
    <row r="12" spans="1:21" s="413" customFormat="1" ht="24.75" customHeight="1">
      <c r="A12" s="515" t="s">
        <v>0</v>
      </c>
      <c r="B12" s="516" t="s">
        <v>78</v>
      </c>
      <c r="C12" s="511">
        <f>SUM(C13:C32)</f>
        <v>3068713524</v>
      </c>
      <c r="D12" s="588">
        <f aca="true" t="shared" si="1" ref="D12:S12">SUM(D13:D32)</f>
        <v>869706440</v>
      </c>
      <c r="E12" s="511">
        <f t="shared" si="1"/>
        <v>2199007084</v>
      </c>
      <c r="F12" s="511">
        <f t="shared" si="1"/>
        <v>29573322</v>
      </c>
      <c r="G12" s="511">
        <f t="shared" si="1"/>
        <v>0</v>
      </c>
      <c r="H12" s="511">
        <f t="shared" si="1"/>
        <v>3039140202</v>
      </c>
      <c r="I12" s="511">
        <f t="shared" si="1"/>
        <v>2598740759</v>
      </c>
      <c r="J12" s="511">
        <f t="shared" si="1"/>
        <v>63800989</v>
      </c>
      <c r="K12" s="511">
        <f t="shared" si="1"/>
        <v>24920</v>
      </c>
      <c r="L12" s="511">
        <f t="shared" si="1"/>
        <v>0</v>
      </c>
      <c r="M12" s="511">
        <f t="shared" si="1"/>
        <v>2509848156</v>
      </c>
      <c r="N12" s="511">
        <f t="shared" si="1"/>
        <v>0</v>
      </c>
      <c r="O12" s="511">
        <f t="shared" si="1"/>
        <v>25066694</v>
      </c>
      <c r="P12" s="511">
        <f t="shared" si="1"/>
        <v>0</v>
      </c>
      <c r="Q12" s="511">
        <f t="shared" si="1"/>
        <v>0</v>
      </c>
      <c r="R12" s="511">
        <f t="shared" si="1"/>
        <v>440399443</v>
      </c>
      <c r="S12" s="511">
        <f t="shared" si="1"/>
        <v>2975314293</v>
      </c>
      <c r="T12" s="512">
        <f>(J12+K12+L12)/I12*100</f>
        <v>2.456032167847335</v>
      </c>
      <c r="U12" s="513">
        <f aca="true" t="shared" si="2" ref="U12:U77">C12-F12-H12</f>
        <v>0</v>
      </c>
    </row>
    <row r="13" spans="1:21" s="406" customFormat="1" ht="30.75" customHeight="1">
      <c r="A13" s="436" t="s">
        <v>45</v>
      </c>
      <c r="B13" s="502" t="s">
        <v>435</v>
      </c>
      <c r="C13" s="481">
        <f>D13+E13</f>
        <v>1329102</v>
      </c>
      <c r="D13" s="589">
        <v>336800</v>
      </c>
      <c r="E13" s="481">
        <f>989602+1200+1500</f>
        <v>992302</v>
      </c>
      <c r="F13" s="481">
        <v>0</v>
      </c>
      <c r="G13" s="481"/>
      <c r="H13" s="481">
        <f>I13+R13</f>
        <v>1329102</v>
      </c>
      <c r="I13" s="481">
        <f>SUM(J13:Q13)</f>
        <v>1329102</v>
      </c>
      <c r="J13" s="481">
        <f>9000+990802</f>
        <v>999802</v>
      </c>
      <c r="K13" s="481"/>
      <c r="L13" s="481"/>
      <c r="M13" s="481">
        <f>337000-200-4000+985802-990802+1500</f>
        <v>329300</v>
      </c>
      <c r="N13" s="481"/>
      <c r="O13" s="481"/>
      <c r="P13" s="481"/>
      <c r="Q13" s="481"/>
      <c r="R13" s="481"/>
      <c r="S13" s="481">
        <f>SUM(M13:R13)</f>
        <v>329300</v>
      </c>
      <c r="T13" s="507">
        <f>(J13+K13+L13)/I13*100</f>
        <v>75.22387296084123</v>
      </c>
      <c r="U13" s="432">
        <f t="shared" si="2"/>
        <v>0</v>
      </c>
    </row>
    <row r="14" spans="1:21" s="406" customFormat="1" ht="30.75" customHeight="1">
      <c r="A14" s="436" t="s">
        <v>46</v>
      </c>
      <c r="B14" s="502" t="s">
        <v>436</v>
      </c>
      <c r="C14" s="481">
        <f aca="true" t="shared" si="3" ref="C14:C30">D14+E14</f>
        <v>439685</v>
      </c>
      <c r="D14" s="589">
        <v>5150</v>
      </c>
      <c r="E14" s="481">
        <f>9002+367733+57200+600</f>
        <v>434535</v>
      </c>
      <c r="F14" s="481">
        <v>0</v>
      </c>
      <c r="G14" s="481"/>
      <c r="H14" s="481">
        <f aca="true" t="shared" si="4" ref="H14:H30">I14+R14</f>
        <v>439685</v>
      </c>
      <c r="I14" s="481">
        <f aca="true" t="shared" si="5" ref="I14:I30">SUM(J14:Q14)</f>
        <v>439685</v>
      </c>
      <c r="J14" s="481">
        <v>16099</v>
      </c>
      <c r="K14" s="481"/>
      <c r="L14" s="481"/>
      <c r="M14" s="481">
        <f>7352-1702+376735+41701-500</f>
        <v>423586</v>
      </c>
      <c r="N14" s="481"/>
      <c r="O14" s="481"/>
      <c r="P14" s="481"/>
      <c r="Q14" s="481"/>
      <c r="R14" s="481"/>
      <c r="S14" s="481">
        <f aca="true" t="shared" si="6" ref="S14:S32">SUM(M14:R14)</f>
        <v>423586</v>
      </c>
      <c r="T14" s="507">
        <f aca="true" t="shared" si="7" ref="T14:T33">(J14+K14+L14)/I14*100</f>
        <v>3.661484926708894</v>
      </c>
      <c r="U14" s="432">
        <f t="shared" si="2"/>
        <v>0</v>
      </c>
    </row>
    <row r="15" spans="1:21" s="406" customFormat="1" ht="30.75" customHeight="1">
      <c r="A15" s="436" t="s">
        <v>102</v>
      </c>
      <c r="B15" s="503" t="s">
        <v>434</v>
      </c>
      <c r="C15" s="481">
        <f>D15+E15</f>
        <v>279425</v>
      </c>
      <c r="D15" s="589">
        <v>0</v>
      </c>
      <c r="E15" s="481">
        <f>2100+300+273425+900+2700</f>
        <v>279425</v>
      </c>
      <c r="F15" s="481">
        <v>0</v>
      </c>
      <c r="G15" s="481"/>
      <c r="H15" s="481">
        <f t="shared" si="4"/>
        <v>279425</v>
      </c>
      <c r="I15" s="481">
        <f t="shared" si="5"/>
        <v>279425</v>
      </c>
      <c r="J15" s="481">
        <f>1200+273425+700+2900</f>
        <v>278225</v>
      </c>
      <c r="K15" s="481"/>
      <c r="L15" s="481"/>
      <c r="M15" s="481">
        <f>274625-272525-700+2700-2900</f>
        <v>1200</v>
      </c>
      <c r="N15" s="481"/>
      <c r="O15" s="481"/>
      <c r="P15" s="481"/>
      <c r="Q15" s="481"/>
      <c r="R15" s="481"/>
      <c r="S15" s="481">
        <f t="shared" si="6"/>
        <v>1200</v>
      </c>
      <c r="T15" s="507">
        <f t="shared" si="7"/>
        <v>99.57054665831619</v>
      </c>
      <c r="U15" s="432">
        <f t="shared" si="2"/>
        <v>0</v>
      </c>
    </row>
    <row r="16" spans="1:21" s="406" customFormat="1" ht="30.75" customHeight="1">
      <c r="A16" s="436" t="s">
        <v>104</v>
      </c>
      <c r="B16" s="503" t="s">
        <v>523</v>
      </c>
      <c r="C16" s="481">
        <f t="shared" si="3"/>
        <v>42888960</v>
      </c>
      <c r="D16" s="589">
        <v>37629709</v>
      </c>
      <c r="E16" s="481">
        <f>4424509+813592+4800+16350</f>
        <v>5259251</v>
      </c>
      <c r="F16" s="481">
        <v>0</v>
      </c>
      <c r="G16" s="481"/>
      <c r="H16" s="481">
        <f t="shared" si="4"/>
        <v>42888960</v>
      </c>
      <c r="I16" s="481">
        <f t="shared" si="5"/>
        <v>42888960</v>
      </c>
      <c r="J16" s="481">
        <f>6423000+93360+4080000+720232+16350</f>
        <v>11332942</v>
      </c>
      <c r="K16" s="481"/>
      <c r="L16" s="481"/>
      <c r="M16" s="481">
        <f>12563015-1998491-3359768-720232+4800+16350-16350</f>
        <v>6489324</v>
      </c>
      <c r="N16" s="481"/>
      <c r="O16" s="481">
        <v>25066694</v>
      </c>
      <c r="P16" s="481"/>
      <c r="Q16" s="481"/>
      <c r="R16" s="481"/>
      <c r="S16" s="481">
        <f t="shared" si="6"/>
        <v>31556018</v>
      </c>
      <c r="T16" s="507">
        <f t="shared" si="7"/>
        <v>26.42391421941684</v>
      </c>
      <c r="U16" s="432">
        <f t="shared" si="2"/>
        <v>0</v>
      </c>
    </row>
    <row r="17" spans="1:21" s="406" customFormat="1" ht="30.75" customHeight="1">
      <c r="A17" s="436" t="s">
        <v>105</v>
      </c>
      <c r="B17" s="503" t="s">
        <v>437</v>
      </c>
      <c r="C17" s="481">
        <f t="shared" si="3"/>
        <v>4071747</v>
      </c>
      <c r="D17" s="589">
        <v>3713115</v>
      </c>
      <c r="E17" s="481">
        <f>33173+800+302001+12183+1175+300+3300+2400+3300</f>
        <v>358632</v>
      </c>
      <c r="F17" s="481">
        <v>0</v>
      </c>
      <c r="G17" s="481"/>
      <c r="H17" s="481">
        <f t="shared" si="4"/>
        <v>4071747</v>
      </c>
      <c r="I17" s="481">
        <f t="shared" si="5"/>
        <v>1890417</v>
      </c>
      <c r="J17" s="481">
        <f>33173+600+302051+1175+300+2350+4583+300</f>
        <v>344532</v>
      </c>
      <c r="K17" s="481"/>
      <c r="L17" s="482"/>
      <c r="M17" s="482">
        <f>1531785+200-50+12183-1233+3300-300</f>
        <v>1545885</v>
      </c>
      <c r="N17" s="483"/>
      <c r="O17" s="483"/>
      <c r="P17" s="483"/>
      <c r="Q17" s="483"/>
      <c r="R17" s="483">
        <v>2181330</v>
      </c>
      <c r="S17" s="481">
        <f t="shared" si="6"/>
        <v>3727215</v>
      </c>
      <c r="T17" s="507">
        <f t="shared" si="7"/>
        <v>18.225185236908047</v>
      </c>
      <c r="U17" s="432">
        <f t="shared" si="2"/>
        <v>0</v>
      </c>
    </row>
    <row r="18" spans="1:21" s="406" customFormat="1" ht="30.75" customHeight="1">
      <c r="A18" s="436" t="s">
        <v>107</v>
      </c>
      <c r="B18" s="502" t="s">
        <v>438</v>
      </c>
      <c r="C18" s="481">
        <f t="shared" si="3"/>
        <v>36084778</v>
      </c>
      <c r="D18" s="589">
        <v>36084778</v>
      </c>
      <c r="E18" s="481">
        <v>0</v>
      </c>
      <c r="F18" s="481">
        <v>0</v>
      </c>
      <c r="G18" s="483"/>
      <c r="H18" s="481">
        <f t="shared" si="4"/>
        <v>36084778</v>
      </c>
      <c r="I18" s="481">
        <f t="shared" si="5"/>
        <v>5745765</v>
      </c>
      <c r="J18" s="481">
        <v>0</v>
      </c>
      <c r="K18" s="483">
        <v>0</v>
      </c>
      <c r="L18" s="483"/>
      <c r="M18" s="483">
        <v>5745765</v>
      </c>
      <c r="N18" s="482"/>
      <c r="O18" s="483"/>
      <c r="P18" s="483"/>
      <c r="Q18" s="483"/>
      <c r="R18" s="483">
        <v>30339013</v>
      </c>
      <c r="S18" s="481">
        <f t="shared" si="6"/>
        <v>36084778</v>
      </c>
      <c r="T18" s="507">
        <f t="shared" si="7"/>
        <v>0</v>
      </c>
      <c r="U18" s="432">
        <f t="shared" si="2"/>
        <v>0</v>
      </c>
    </row>
    <row r="19" spans="1:21" s="406" customFormat="1" ht="30.75" customHeight="1">
      <c r="A19" s="436" t="s">
        <v>108</v>
      </c>
      <c r="B19" s="503" t="s">
        <v>439</v>
      </c>
      <c r="C19" s="481">
        <f t="shared" si="3"/>
        <v>25473440</v>
      </c>
      <c r="D19" s="589">
        <v>11111935</v>
      </c>
      <c r="E19" s="481">
        <f>973656+107827+14800+54790+13210432</f>
        <v>14361505</v>
      </c>
      <c r="F19" s="481">
        <v>0</v>
      </c>
      <c r="G19" s="483"/>
      <c r="H19" s="481">
        <f t="shared" si="4"/>
        <v>25473440</v>
      </c>
      <c r="I19" s="481">
        <f t="shared" si="5"/>
        <v>25343834</v>
      </c>
      <c r="J19" s="481">
        <f>21400+77068+69300</f>
        <v>167768</v>
      </c>
      <c r="K19" s="483"/>
      <c r="L19" s="483"/>
      <c r="M19" s="483">
        <f>23282329-12300000+875188+108117+13210432</f>
        <v>25176066</v>
      </c>
      <c r="N19" s="482"/>
      <c r="O19" s="483"/>
      <c r="P19" s="483"/>
      <c r="Q19" s="483"/>
      <c r="R19" s="483">
        <v>129606</v>
      </c>
      <c r="S19" s="481">
        <f t="shared" si="6"/>
        <v>25305672</v>
      </c>
      <c r="T19" s="507">
        <f t="shared" si="7"/>
        <v>0.6619677196433658</v>
      </c>
      <c r="U19" s="432">
        <f t="shared" si="2"/>
        <v>0</v>
      </c>
    </row>
    <row r="20" spans="1:21" s="406" customFormat="1" ht="30.75" customHeight="1">
      <c r="A20" s="436" t="s">
        <v>115</v>
      </c>
      <c r="B20" s="502" t="s">
        <v>440</v>
      </c>
      <c r="C20" s="481">
        <f t="shared" si="3"/>
        <v>293365</v>
      </c>
      <c r="D20" s="589">
        <v>192587</v>
      </c>
      <c r="E20" s="481">
        <f>11200+49806+11522+4000+16000+750+7500</f>
        <v>100778</v>
      </c>
      <c r="F20" s="481">
        <v>0</v>
      </c>
      <c r="G20" s="483"/>
      <c r="H20" s="481">
        <f t="shared" si="4"/>
        <v>293365</v>
      </c>
      <c r="I20" s="481">
        <f t="shared" si="5"/>
        <v>240278</v>
      </c>
      <c r="J20" s="481">
        <f>800+49806+1200+19100+300+4800+7500</f>
        <v>83506</v>
      </c>
      <c r="K20" s="483">
        <v>0</v>
      </c>
      <c r="L20" s="483"/>
      <c r="M20" s="483">
        <f>139500+10400+14322+4850-12300</f>
        <v>156772</v>
      </c>
      <c r="N20" s="482"/>
      <c r="O20" s="483"/>
      <c r="P20" s="483"/>
      <c r="Q20" s="483"/>
      <c r="R20" s="483">
        <v>53087</v>
      </c>
      <c r="S20" s="481">
        <f t="shared" si="6"/>
        <v>209859</v>
      </c>
      <c r="T20" s="507">
        <f t="shared" si="7"/>
        <v>34.75391005418723</v>
      </c>
      <c r="U20" s="432">
        <f t="shared" si="2"/>
        <v>0</v>
      </c>
    </row>
    <row r="21" spans="1:21" s="406" customFormat="1" ht="30.75" customHeight="1">
      <c r="A21" s="436" t="s">
        <v>425</v>
      </c>
      <c r="B21" s="502" t="s">
        <v>442</v>
      </c>
      <c r="C21" s="481">
        <f t="shared" si="3"/>
        <v>108090072</v>
      </c>
      <c r="D21" s="589">
        <f>103036523+500</f>
        <v>103037023</v>
      </c>
      <c r="E21" s="481">
        <f>119353+180750+32808+705125+500+5400+2765438+8600+1197875+36600+600</f>
        <v>5053049</v>
      </c>
      <c r="F21" s="481">
        <v>0</v>
      </c>
      <c r="G21" s="483"/>
      <c r="H21" s="481">
        <f t="shared" si="4"/>
        <v>108090072</v>
      </c>
      <c r="I21" s="481">
        <f t="shared" si="5"/>
        <v>108090072</v>
      </c>
      <c r="J21" s="481">
        <f>160600+30600+71860+2140+32808+8600+1397380+19800+600</f>
        <v>1724388</v>
      </c>
      <c r="K21" s="483">
        <v>0</v>
      </c>
      <c r="L21" s="483"/>
      <c r="M21" s="483">
        <f>113037023-10000000-500+119353-84450+711025+1368058+500+1214675</f>
        <v>106365684</v>
      </c>
      <c r="N21" s="482"/>
      <c r="O21" s="483"/>
      <c r="P21" s="483"/>
      <c r="Q21" s="483"/>
      <c r="R21" s="483"/>
      <c r="S21" s="481">
        <f t="shared" si="6"/>
        <v>106365684</v>
      </c>
      <c r="T21" s="507">
        <f t="shared" si="7"/>
        <v>1.5953250544601358</v>
      </c>
      <c r="U21" s="432">
        <f t="shared" si="2"/>
        <v>0</v>
      </c>
    </row>
    <row r="22" spans="1:21" s="406" customFormat="1" ht="30.75" customHeight="1">
      <c r="A22" s="436" t="s">
        <v>441</v>
      </c>
      <c r="B22" s="502" t="s">
        <v>444</v>
      </c>
      <c r="C22" s="481">
        <f t="shared" si="3"/>
        <v>72768576</v>
      </c>
      <c r="D22" s="589">
        <v>39751844</v>
      </c>
      <c r="E22" s="481">
        <f>32931932+84800</f>
        <v>33016732</v>
      </c>
      <c r="F22" s="481">
        <v>0</v>
      </c>
      <c r="G22" s="483"/>
      <c r="H22" s="481">
        <f t="shared" si="4"/>
        <v>72768576</v>
      </c>
      <c r="I22" s="481">
        <f t="shared" si="5"/>
        <v>72768576</v>
      </c>
      <c r="J22" s="481">
        <f>66822+1828600</f>
        <v>1895422</v>
      </c>
      <c r="K22" s="483"/>
      <c r="L22" s="483"/>
      <c r="M22" s="483">
        <f>39751844+32931932-1810622</f>
        <v>70873154</v>
      </c>
      <c r="N22" s="482"/>
      <c r="O22" s="483"/>
      <c r="P22" s="483"/>
      <c r="Q22" s="483"/>
      <c r="R22" s="483"/>
      <c r="S22" s="481">
        <f t="shared" si="6"/>
        <v>70873154</v>
      </c>
      <c r="T22" s="507">
        <f t="shared" si="7"/>
        <v>2.6047259740248316</v>
      </c>
      <c r="U22" s="432">
        <f t="shared" si="2"/>
        <v>0</v>
      </c>
    </row>
    <row r="23" spans="1:21" s="406" customFormat="1" ht="30.75" customHeight="1">
      <c r="A23" s="436" t="s">
        <v>443</v>
      </c>
      <c r="B23" s="503" t="s">
        <v>536</v>
      </c>
      <c r="C23" s="481">
        <f t="shared" si="3"/>
        <v>34572776</v>
      </c>
      <c r="D23" s="589">
        <f>33762968+9109528-116992-8992536</f>
        <v>33762968</v>
      </c>
      <c r="E23" s="481">
        <f>5400+25050+16012+61700+676446+4000+21200</f>
        <v>809808</v>
      </c>
      <c r="F23" s="481">
        <f>36600+12255540</f>
        <v>12292140</v>
      </c>
      <c r="G23" s="483"/>
      <c r="H23" s="481">
        <f t="shared" si="4"/>
        <v>22280636</v>
      </c>
      <c r="I23" s="481">
        <f t="shared" si="5"/>
        <v>22157415</v>
      </c>
      <c r="J23" s="481">
        <f>2267851+69000+27250+12009+30000+2814505+5400</f>
        <v>5226015</v>
      </c>
      <c r="K23" s="483"/>
      <c r="L23" s="483"/>
      <c r="M23" s="483">
        <f>19673859+5400-2336851+9109528-12290337-2106359+13965888-9105528+21200-5400</f>
        <v>16931400</v>
      </c>
      <c r="N23" s="482">
        <v>0</v>
      </c>
      <c r="O23" s="483"/>
      <c r="P23" s="483"/>
      <c r="Q23" s="483"/>
      <c r="R23" s="483">
        <f>7540+115681</f>
        <v>123221</v>
      </c>
      <c r="S23" s="481">
        <f t="shared" si="6"/>
        <v>17054621</v>
      </c>
      <c r="T23" s="507">
        <f t="shared" si="7"/>
        <v>23.585851508400236</v>
      </c>
      <c r="U23" s="432">
        <f t="shared" si="2"/>
        <v>0</v>
      </c>
    </row>
    <row r="24" spans="1:21" s="406" customFormat="1" ht="30.75" customHeight="1">
      <c r="A24" s="436" t="s">
        <v>445</v>
      </c>
      <c r="B24" s="503" t="s">
        <v>537</v>
      </c>
      <c r="C24" s="481">
        <f t="shared" si="3"/>
        <v>583325521</v>
      </c>
      <c r="D24" s="590">
        <v>102594228</v>
      </c>
      <c r="E24" s="481">
        <f>463349314+4472054+5603112+114912+6995301+62000+58600+600+74400+1000</f>
        <v>480731293</v>
      </c>
      <c r="F24" s="481">
        <f>57497+5130712+5200</f>
        <v>5193409</v>
      </c>
      <c r="G24" s="483"/>
      <c r="H24" s="481">
        <f t="shared" si="4"/>
        <v>578132112</v>
      </c>
      <c r="I24" s="481">
        <f t="shared" si="5"/>
        <v>575366758</v>
      </c>
      <c r="J24" s="481">
        <f>29354082+899600+69800+24429+2000+43040+28600+600+57615</f>
        <v>30479766</v>
      </c>
      <c r="K24" s="483"/>
      <c r="L24" s="483"/>
      <c r="M24" s="483">
        <f>100046207-217333+433995232+4472054+11616959+62000-5026312+1000-5200-57615</f>
        <v>544886992</v>
      </c>
      <c r="N24" s="482"/>
      <c r="O24" s="483"/>
      <c r="P24" s="483"/>
      <c r="Q24" s="483"/>
      <c r="R24" s="483">
        <f>2548021+217333</f>
        <v>2765354</v>
      </c>
      <c r="S24" s="481">
        <f t="shared" si="6"/>
        <v>547652346</v>
      </c>
      <c r="T24" s="507">
        <f t="shared" si="7"/>
        <v>5.297449944092877</v>
      </c>
      <c r="U24" s="432">
        <f t="shared" si="2"/>
        <v>0</v>
      </c>
    </row>
    <row r="25" spans="1:21" s="406" customFormat="1" ht="30.75" customHeight="1">
      <c r="A25" s="436" t="s">
        <v>446</v>
      </c>
      <c r="B25" s="503" t="s">
        <v>448</v>
      </c>
      <c r="C25" s="481">
        <f>D25+E25</f>
        <v>2105062263</v>
      </c>
      <c r="D25" s="460">
        <f>1063836595-582814933</f>
        <v>481021662</v>
      </c>
      <c r="E25" s="481">
        <f>1041049828+582814933+175840</f>
        <v>1624040601</v>
      </c>
      <c r="F25" s="481">
        <f>7350300+68990</f>
        <v>7419290</v>
      </c>
      <c r="G25" s="481"/>
      <c r="H25" s="481">
        <f>I25+R25</f>
        <v>2097642973</v>
      </c>
      <c r="I25" s="481">
        <f>SUM(J25:Q25)</f>
        <v>1698631199</v>
      </c>
      <c r="J25" s="481">
        <f>1739128+106850</f>
        <v>1845978</v>
      </c>
      <c r="K25" s="481">
        <v>24920</v>
      </c>
      <c r="L25" s="482"/>
      <c r="M25" s="482">
        <f>1696760301+175840-106850-68990</f>
        <v>1696760301</v>
      </c>
      <c r="N25" s="483">
        <v>0</v>
      </c>
      <c r="O25" s="483">
        <v>0</v>
      </c>
      <c r="P25" s="483"/>
      <c r="Q25" s="483"/>
      <c r="R25" s="483">
        <f>399409151-397377</f>
        <v>399011774</v>
      </c>
      <c r="S25" s="481">
        <f t="shared" si="6"/>
        <v>2095772075</v>
      </c>
      <c r="T25" s="507">
        <f t="shared" si="7"/>
        <v>0.11014150694402736</v>
      </c>
      <c r="U25" s="432">
        <f t="shared" si="2"/>
        <v>0</v>
      </c>
    </row>
    <row r="26" spans="1:21" s="406" customFormat="1" ht="30.75" customHeight="1">
      <c r="A26" s="436" t="s">
        <v>447</v>
      </c>
      <c r="B26" s="502" t="s">
        <v>450</v>
      </c>
      <c r="C26" s="481">
        <f>D26+E26</f>
        <v>3384300</v>
      </c>
      <c r="D26" s="591">
        <f>2569533</f>
        <v>2569533</v>
      </c>
      <c r="E26" s="481">
        <f>87469+5550+26930+50000+618118+26700</f>
        <v>814767</v>
      </c>
      <c r="F26" s="481">
        <v>50000</v>
      </c>
      <c r="G26" s="481"/>
      <c r="H26" s="481">
        <f>I26+R26</f>
        <v>3334300</v>
      </c>
      <c r="I26" s="481">
        <f>SUM(J26:Q26)</f>
        <v>3236683</v>
      </c>
      <c r="J26" s="481">
        <f>35803+8800+1850+60200+21780+4300+95269+150+4920</f>
        <v>233072</v>
      </c>
      <c r="K26" s="481"/>
      <c r="L26" s="482"/>
      <c r="M26" s="482">
        <f>2523582+73680+506068+5000-80-104693+54</f>
        <v>3003611</v>
      </c>
      <c r="N26" s="482"/>
      <c r="O26" s="484"/>
      <c r="P26" s="484"/>
      <c r="Q26" s="484"/>
      <c r="R26" s="484">
        <v>97617</v>
      </c>
      <c r="S26" s="481">
        <f t="shared" si="6"/>
        <v>3101228</v>
      </c>
      <c r="T26" s="507">
        <f t="shared" si="7"/>
        <v>7.200952332990286</v>
      </c>
      <c r="U26" s="432">
        <f t="shared" si="2"/>
        <v>0</v>
      </c>
    </row>
    <row r="27" spans="1:21" s="406" customFormat="1" ht="30.75" customHeight="1">
      <c r="A27" s="436" t="s">
        <v>449</v>
      </c>
      <c r="B27" s="503" t="s">
        <v>452</v>
      </c>
      <c r="C27" s="481">
        <f t="shared" si="3"/>
        <v>29811720</v>
      </c>
      <c r="D27" s="589">
        <v>1278149</v>
      </c>
      <c r="E27" s="481">
        <f>23097026+4482919+122684+15441+233400+1250+85600+495251</f>
        <v>28533571</v>
      </c>
      <c r="F27" s="481">
        <v>4136519</v>
      </c>
      <c r="G27" s="481"/>
      <c r="H27" s="481">
        <f t="shared" si="4"/>
        <v>25675201</v>
      </c>
      <c r="I27" s="481">
        <f t="shared" si="5"/>
        <v>25545794</v>
      </c>
      <c r="J27" s="481">
        <f>8246200+15441+146400+900+350</f>
        <v>8409291</v>
      </c>
      <c r="K27" s="481"/>
      <c r="L27" s="482"/>
      <c r="M27" s="482">
        <f>16103975+4605603+234650-4198569+495251-104407</f>
        <v>17136503</v>
      </c>
      <c r="N27" s="482"/>
      <c r="O27" s="483"/>
      <c r="P27" s="483"/>
      <c r="Q27" s="483"/>
      <c r="R27" s="483">
        <f>25000+104407</f>
        <v>129407</v>
      </c>
      <c r="S27" s="481">
        <f t="shared" si="6"/>
        <v>17265910</v>
      </c>
      <c r="T27" s="507">
        <f t="shared" si="7"/>
        <v>32.9184953108132</v>
      </c>
      <c r="U27" s="432">
        <f t="shared" si="2"/>
        <v>0</v>
      </c>
    </row>
    <row r="28" spans="1:21" s="406" customFormat="1" ht="30.75" customHeight="1">
      <c r="A28" s="436" t="s">
        <v>451</v>
      </c>
      <c r="B28" s="503" t="s">
        <v>454</v>
      </c>
      <c r="C28" s="481">
        <f t="shared" si="3"/>
        <v>5990885</v>
      </c>
      <c r="D28" s="460">
        <v>5325863</v>
      </c>
      <c r="E28" s="481">
        <f>65050+101733+25775+260496+140800+71168</f>
        <v>665022</v>
      </c>
      <c r="F28" s="481">
        <v>0</v>
      </c>
      <c r="G28" s="481"/>
      <c r="H28" s="481">
        <f t="shared" si="4"/>
        <v>5990885</v>
      </c>
      <c r="I28" s="481">
        <f t="shared" si="5"/>
        <v>689222</v>
      </c>
      <c r="J28" s="481">
        <f>6050+98933+8600+5450+13000+27323+200+34588</f>
        <v>194144</v>
      </c>
      <c r="K28" s="481">
        <v>0</v>
      </c>
      <c r="L28" s="482">
        <v>0</v>
      </c>
      <c r="M28" s="482">
        <f>192494-116200-56094+4000+59000+2800-8600+267821-27323+141250-650+71168-34588</f>
        <v>495078</v>
      </c>
      <c r="N28" s="482"/>
      <c r="O28" s="483"/>
      <c r="P28" s="483"/>
      <c r="Q28" s="483"/>
      <c r="R28" s="483">
        <f>5176064+69505+56094</f>
        <v>5301663</v>
      </c>
      <c r="S28" s="481">
        <f t="shared" si="6"/>
        <v>5796741</v>
      </c>
      <c r="T28" s="507">
        <f t="shared" si="7"/>
        <v>28.16857268050062</v>
      </c>
      <c r="U28" s="432">
        <f t="shared" si="2"/>
        <v>0</v>
      </c>
    </row>
    <row r="29" spans="1:21" s="406" customFormat="1" ht="30.75" customHeight="1">
      <c r="A29" s="436" t="s">
        <v>453</v>
      </c>
      <c r="B29" s="502" t="s">
        <v>544</v>
      </c>
      <c r="C29" s="481">
        <f t="shared" si="3"/>
        <v>2156195</v>
      </c>
      <c r="D29" s="460">
        <v>1926742</v>
      </c>
      <c r="E29" s="481">
        <f>100334+38489+26700+5330+55000+3600</f>
        <v>229453</v>
      </c>
      <c r="F29" s="481">
        <v>0</v>
      </c>
      <c r="G29" s="481">
        <v>0</v>
      </c>
      <c r="H29" s="481">
        <f t="shared" si="4"/>
        <v>2156195</v>
      </c>
      <c r="I29" s="481">
        <f t="shared" si="5"/>
        <v>2111350</v>
      </c>
      <c r="J29" s="481">
        <f>90684+16299+21780+4361+56740+55000</f>
        <v>244864</v>
      </c>
      <c r="K29" s="481">
        <v>0</v>
      </c>
      <c r="L29" s="482">
        <v>0</v>
      </c>
      <c r="M29" s="482">
        <f>1936392+20390+1800+10250-4361-52085-49500+3600</f>
        <v>1866486</v>
      </c>
      <c r="N29" s="482"/>
      <c r="O29" s="483"/>
      <c r="P29" s="483"/>
      <c r="Q29" s="483"/>
      <c r="R29" s="483">
        <v>44845</v>
      </c>
      <c r="S29" s="481">
        <f t="shared" si="6"/>
        <v>1911331</v>
      </c>
      <c r="T29" s="507">
        <f t="shared" si="7"/>
        <v>11.59750870296256</v>
      </c>
      <c r="U29" s="432">
        <f t="shared" si="2"/>
        <v>0</v>
      </c>
    </row>
    <row r="30" spans="1:21" s="406" customFormat="1" ht="30.75" customHeight="1">
      <c r="A30" s="436" t="s">
        <v>553</v>
      </c>
      <c r="B30" s="502" t="s">
        <v>538</v>
      </c>
      <c r="C30" s="481">
        <f t="shared" si="3"/>
        <v>9867094</v>
      </c>
      <c r="D30" s="592">
        <f>254826+8992536+116992</f>
        <v>9364354</v>
      </c>
      <c r="E30" s="481">
        <f>108670+32750+42449+30664+26039+95028+600-200+22390+144350</f>
        <v>502740</v>
      </c>
      <c r="F30" s="481">
        <f>25400+28766+30200+6400</f>
        <v>90766</v>
      </c>
      <c r="G30" s="481"/>
      <c r="H30" s="481">
        <f t="shared" si="4"/>
        <v>9776328</v>
      </c>
      <c r="I30" s="481">
        <f t="shared" si="5"/>
        <v>9553802</v>
      </c>
      <c r="J30" s="481">
        <f>32750+58470+30664+13683+20839+88428+600+26900+5310+5900</f>
        <v>283544</v>
      </c>
      <c r="K30" s="481">
        <v>0</v>
      </c>
      <c r="L30" s="482"/>
      <c r="M30" s="482">
        <f>22300+24800+5200-23600-200-26900+10000+9120208+144350-5900</f>
        <v>9270258</v>
      </c>
      <c r="N30" s="482"/>
      <c r="O30" s="483"/>
      <c r="P30" s="483"/>
      <c r="Q30" s="483"/>
      <c r="R30" s="483">
        <v>222526</v>
      </c>
      <c r="S30" s="481">
        <f t="shared" si="6"/>
        <v>9492784</v>
      </c>
      <c r="T30" s="507">
        <f t="shared" si="7"/>
        <v>2.967865568074364</v>
      </c>
      <c r="U30" s="432">
        <f t="shared" si="2"/>
        <v>0</v>
      </c>
    </row>
    <row r="31" spans="1:21" s="406" customFormat="1" ht="30.75" customHeight="1">
      <c r="A31" s="436" t="s">
        <v>555</v>
      </c>
      <c r="B31" s="502" t="s">
        <v>556</v>
      </c>
      <c r="C31" s="481">
        <f>D31+E31</f>
        <v>466324</v>
      </c>
      <c r="D31" s="592">
        <v>0</v>
      </c>
      <c r="E31" s="481">
        <f>425579+26650+13895+200</f>
        <v>466324</v>
      </c>
      <c r="F31" s="481">
        <v>391198</v>
      </c>
      <c r="G31" s="481"/>
      <c r="H31" s="481">
        <f>I31+R31</f>
        <v>75126</v>
      </c>
      <c r="I31" s="481">
        <f>SUM(J31:Q31)</f>
        <v>75126</v>
      </c>
      <c r="J31" s="481">
        <f>22600+450+10200+7200+531+650</f>
        <v>41631</v>
      </c>
      <c r="K31" s="481">
        <v>0</v>
      </c>
      <c r="L31" s="482"/>
      <c r="M31" s="482">
        <f>11781+21714</f>
        <v>33495</v>
      </c>
      <c r="N31" s="482"/>
      <c r="O31" s="483"/>
      <c r="P31" s="483"/>
      <c r="Q31" s="483"/>
      <c r="R31" s="483">
        <v>0</v>
      </c>
      <c r="S31" s="481">
        <f t="shared" si="6"/>
        <v>33495</v>
      </c>
      <c r="T31" s="507">
        <f t="shared" si="7"/>
        <v>55.41490296302213</v>
      </c>
      <c r="U31" s="432">
        <f t="shared" si="2"/>
        <v>0</v>
      </c>
    </row>
    <row r="32" spans="1:21" s="406" customFormat="1" ht="30.75" customHeight="1">
      <c r="A32" s="436" t="s">
        <v>616</v>
      </c>
      <c r="B32" s="502" t="s">
        <v>615</v>
      </c>
      <c r="C32" s="481">
        <f>D32+E32</f>
        <v>2357296</v>
      </c>
      <c r="D32" s="592"/>
      <c r="E32" s="481">
        <v>2357296</v>
      </c>
      <c r="F32" s="481"/>
      <c r="G32" s="481"/>
      <c r="H32" s="481">
        <f>I32+R32</f>
        <v>2357296</v>
      </c>
      <c r="I32" s="481">
        <f>SUM(J32:Q32)</f>
        <v>2357296</v>
      </c>
      <c r="J32" s="481"/>
      <c r="K32" s="481"/>
      <c r="L32" s="482"/>
      <c r="M32" s="482">
        <v>2357296</v>
      </c>
      <c r="N32" s="482"/>
      <c r="O32" s="483"/>
      <c r="P32" s="483"/>
      <c r="Q32" s="483"/>
      <c r="R32" s="483"/>
      <c r="S32" s="481">
        <f t="shared" si="6"/>
        <v>2357296</v>
      </c>
      <c r="T32" s="507"/>
      <c r="U32" s="432"/>
    </row>
    <row r="33" spans="1:21" s="413" customFormat="1" ht="30.75" customHeight="1">
      <c r="A33" s="508" t="s">
        <v>1</v>
      </c>
      <c r="B33" s="509" t="s">
        <v>455</v>
      </c>
      <c r="C33" s="510">
        <f aca="true" t="shared" si="8" ref="C33:R33">C34+C41+C45+C49+C51+C61+C67+C76+C80+C84+C92+C96+C99+C113+C119</f>
        <v>3757796453</v>
      </c>
      <c r="D33" s="593">
        <f t="shared" si="8"/>
        <v>2337868288</v>
      </c>
      <c r="E33" s="510">
        <f t="shared" si="8"/>
        <v>1419928165</v>
      </c>
      <c r="F33" s="510">
        <f t="shared" si="8"/>
        <v>160129064</v>
      </c>
      <c r="G33" s="510">
        <f t="shared" si="8"/>
        <v>1841843658</v>
      </c>
      <c r="H33" s="510">
        <f t="shared" si="8"/>
        <v>3597667389</v>
      </c>
      <c r="I33" s="510">
        <f t="shared" si="8"/>
        <v>2351733495</v>
      </c>
      <c r="J33" s="510">
        <f t="shared" si="8"/>
        <v>180568434</v>
      </c>
      <c r="K33" s="510">
        <f t="shared" si="8"/>
        <v>197471517</v>
      </c>
      <c r="L33" s="510">
        <f t="shared" si="8"/>
        <v>50869</v>
      </c>
      <c r="M33" s="510">
        <f t="shared" si="8"/>
        <v>1971610863</v>
      </c>
      <c r="N33" s="510">
        <f t="shared" si="8"/>
        <v>381189</v>
      </c>
      <c r="O33" s="510">
        <f t="shared" si="8"/>
        <v>0</v>
      </c>
      <c r="P33" s="510">
        <f t="shared" si="8"/>
        <v>0</v>
      </c>
      <c r="Q33" s="510">
        <f t="shared" si="8"/>
        <v>1650623</v>
      </c>
      <c r="R33" s="510">
        <f t="shared" si="8"/>
        <v>1245933894</v>
      </c>
      <c r="S33" s="511">
        <f>SUM(M33:R33)</f>
        <v>3219576569</v>
      </c>
      <c r="T33" s="512">
        <f t="shared" si="7"/>
        <v>16.077111662688633</v>
      </c>
      <c r="U33" s="513">
        <f t="shared" si="2"/>
        <v>0</v>
      </c>
    </row>
    <row r="34" spans="1:21" s="413" customFormat="1" ht="25.5" customHeight="1">
      <c r="A34" s="508">
        <v>1</v>
      </c>
      <c r="B34" s="517" t="s">
        <v>456</v>
      </c>
      <c r="C34" s="510">
        <f>SUM(C35:C40)</f>
        <v>389206189</v>
      </c>
      <c r="D34" s="593">
        <f aca="true" t="shared" si="9" ref="D34:R34">SUM(D35:D40)</f>
        <v>323063545</v>
      </c>
      <c r="E34" s="510">
        <f t="shared" si="9"/>
        <v>66142644</v>
      </c>
      <c r="F34" s="510">
        <f t="shared" si="9"/>
        <v>1703402</v>
      </c>
      <c r="G34" s="510">
        <f t="shared" si="9"/>
        <v>1832734130</v>
      </c>
      <c r="H34" s="510">
        <f t="shared" si="9"/>
        <v>387502787</v>
      </c>
      <c r="I34" s="510">
        <f t="shared" si="9"/>
        <v>300443647</v>
      </c>
      <c r="J34" s="510">
        <f t="shared" si="9"/>
        <v>22777259</v>
      </c>
      <c r="K34" s="510">
        <f t="shared" si="9"/>
        <v>20935654</v>
      </c>
      <c r="L34" s="510">
        <f t="shared" si="9"/>
        <v>29495</v>
      </c>
      <c r="M34" s="510">
        <f t="shared" si="9"/>
        <v>256701239</v>
      </c>
      <c r="N34" s="510">
        <f t="shared" si="9"/>
        <v>0</v>
      </c>
      <c r="O34" s="510">
        <f t="shared" si="9"/>
        <v>0</v>
      </c>
      <c r="P34" s="510">
        <f t="shared" si="9"/>
        <v>0</v>
      </c>
      <c r="Q34" s="510">
        <f t="shared" si="9"/>
        <v>0</v>
      </c>
      <c r="R34" s="510">
        <f t="shared" si="9"/>
        <v>87059140</v>
      </c>
      <c r="S34" s="511">
        <f aca="true" t="shared" si="10" ref="S34:S97">SUM(M34:R34)</f>
        <v>343760379</v>
      </c>
      <c r="T34" s="512">
        <f aca="true" t="shared" si="11" ref="T34:T97">(J34+K34+L34)/I34*100</f>
        <v>14.559272075405207</v>
      </c>
      <c r="U34" s="513">
        <f t="shared" si="2"/>
        <v>0</v>
      </c>
    </row>
    <row r="35" spans="1:21" s="413" customFormat="1" ht="30.75" customHeight="1">
      <c r="A35" s="437">
        <v>1.1</v>
      </c>
      <c r="B35" s="459" t="s">
        <v>557</v>
      </c>
      <c r="C35" s="481">
        <f aca="true" t="shared" si="12" ref="C35:C40">SUM(E35+D35)</f>
        <v>131637856</v>
      </c>
      <c r="D35" s="460">
        <v>121768155</v>
      </c>
      <c r="E35" s="481">
        <v>9869701</v>
      </c>
      <c r="F35" s="481">
        <v>3000</v>
      </c>
      <c r="G35" s="481">
        <v>0</v>
      </c>
      <c r="H35" s="481">
        <f aca="true" t="shared" si="13" ref="H35:H40">SUM(R35+I35)</f>
        <v>131634856</v>
      </c>
      <c r="I35" s="481">
        <f aca="true" t="shared" si="14" ref="I35:I40">SUM(J35+K35+L35+M35+N35+O35+P35+Q35)</f>
        <v>127975504</v>
      </c>
      <c r="J35" s="481">
        <v>2975427</v>
      </c>
      <c r="K35" s="481">
        <v>0</v>
      </c>
      <c r="L35" s="481">
        <v>0</v>
      </c>
      <c r="M35" s="481">
        <v>125000077</v>
      </c>
      <c r="N35" s="481">
        <v>0</v>
      </c>
      <c r="O35" s="481">
        <v>0</v>
      </c>
      <c r="P35" s="481">
        <v>0</v>
      </c>
      <c r="Q35" s="481">
        <v>0</v>
      </c>
      <c r="R35" s="481">
        <v>3659352</v>
      </c>
      <c r="S35" s="480">
        <f t="shared" si="10"/>
        <v>128659429</v>
      </c>
      <c r="T35" s="507">
        <f t="shared" si="11"/>
        <v>2.3249972901063938</v>
      </c>
      <c r="U35" s="432">
        <f t="shared" si="2"/>
        <v>0</v>
      </c>
    </row>
    <row r="36" spans="1:21" s="413" customFormat="1" ht="30.75" customHeight="1">
      <c r="A36" s="437">
        <v>1.2</v>
      </c>
      <c r="B36" s="459" t="s">
        <v>539</v>
      </c>
      <c r="C36" s="481">
        <f t="shared" si="12"/>
        <v>123435330</v>
      </c>
      <c r="D36" s="460">
        <v>116075091</v>
      </c>
      <c r="E36" s="481">
        <f>1840094369-1832734130</f>
        <v>7360239</v>
      </c>
      <c r="F36" s="481">
        <v>13700</v>
      </c>
      <c r="G36" s="481">
        <v>1832734130</v>
      </c>
      <c r="H36" s="481">
        <f t="shared" si="13"/>
        <v>123421630</v>
      </c>
      <c r="I36" s="481">
        <f t="shared" si="14"/>
        <v>78575763</v>
      </c>
      <c r="J36" s="481">
        <v>7074947</v>
      </c>
      <c r="K36" s="481">
        <v>12225632</v>
      </c>
      <c r="L36" s="481">
        <v>0</v>
      </c>
      <c r="M36" s="481">
        <v>59275184</v>
      </c>
      <c r="N36" s="481">
        <v>0</v>
      </c>
      <c r="O36" s="481"/>
      <c r="P36" s="481"/>
      <c r="Q36" s="481">
        <v>0</v>
      </c>
      <c r="R36" s="481">
        <v>44845867</v>
      </c>
      <c r="S36" s="480">
        <f t="shared" si="10"/>
        <v>104121051</v>
      </c>
      <c r="T36" s="507">
        <f t="shared" si="11"/>
        <v>24.56301824266091</v>
      </c>
      <c r="U36" s="432">
        <f t="shared" si="2"/>
        <v>0</v>
      </c>
    </row>
    <row r="37" spans="1:21" s="413" customFormat="1" ht="30.75" customHeight="1">
      <c r="A37" s="437">
        <v>1.3</v>
      </c>
      <c r="B37" s="459" t="s">
        <v>457</v>
      </c>
      <c r="C37" s="481">
        <f t="shared" si="12"/>
        <v>17390871</v>
      </c>
      <c r="D37" s="460">
        <v>10861939</v>
      </c>
      <c r="E37" s="481">
        <v>6528932</v>
      </c>
      <c r="F37" s="481">
        <v>0</v>
      </c>
      <c r="G37" s="481"/>
      <c r="H37" s="481">
        <f t="shared" si="13"/>
        <v>17390871</v>
      </c>
      <c r="I37" s="481">
        <f t="shared" si="14"/>
        <v>16677898</v>
      </c>
      <c r="J37" s="481">
        <v>5801903</v>
      </c>
      <c r="K37" s="481">
        <v>8387697</v>
      </c>
      <c r="L37" s="481">
        <v>0</v>
      </c>
      <c r="M37" s="481">
        <v>2488298</v>
      </c>
      <c r="N37" s="481">
        <v>0</v>
      </c>
      <c r="O37" s="481"/>
      <c r="P37" s="481"/>
      <c r="Q37" s="481"/>
      <c r="R37" s="481">
        <v>712973</v>
      </c>
      <c r="S37" s="480">
        <f t="shared" si="10"/>
        <v>3201271</v>
      </c>
      <c r="T37" s="507">
        <f t="shared" si="11"/>
        <v>85.08026611027361</v>
      </c>
      <c r="U37" s="432">
        <f t="shared" si="2"/>
        <v>0</v>
      </c>
    </row>
    <row r="38" spans="1:21" s="413" customFormat="1" ht="30.75" customHeight="1">
      <c r="A38" s="437">
        <v>1.4</v>
      </c>
      <c r="B38" s="459" t="s">
        <v>540</v>
      </c>
      <c r="C38" s="481">
        <f t="shared" si="12"/>
        <v>30890554</v>
      </c>
      <c r="D38" s="460">
        <v>16150146</v>
      </c>
      <c r="E38" s="481">
        <f>14245840+492918+1650</f>
        <v>14740408</v>
      </c>
      <c r="F38" s="481">
        <v>200</v>
      </c>
      <c r="G38" s="481"/>
      <c r="H38" s="481">
        <f t="shared" si="13"/>
        <v>30890354</v>
      </c>
      <c r="I38" s="481">
        <f t="shared" si="14"/>
        <v>17289930</v>
      </c>
      <c r="J38" s="481">
        <f>1433329+39983</f>
        <v>1473312</v>
      </c>
      <c r="K38" s="481">
        <f>12700+4725</f>
        <v>17425</v>
      </c>
      <c r="L38" s="481">
        <v>0</v>
      </c>
      <c r="M38" s="481">
        <f>15814317+492918+1650-39983+19333-484317-4725</f>
        <v>15799193</v>
      </c>
      <c r="N38" s="481">
        <v>0</v>
      </c>
      <c r="O38" s="481"/>
      <c r="P38" s="481"/>
      <c r="Q38" s="481"/>
      <c r="R38" s="481">
        <f>12134578+1000862-19333+484317</f>
        <v>13600424</v>
      </c>
      <c r="S38" s="480">
        <f t="shared" si="10"/>
        <v>29399617</v>
      </c>
      <c r="T38" s="507">
        <f t="shared" si="11"/>
        <v>8.621995577772728</v>
      </c>
      <c r="U38" s="432">
        <f t="shared" si="2"/>
        <v>0</v>
      </c>
    </row>
    <row r="39" spans="1:21" s="413" customFormat="1" ht="30.75" customHeight="1">
      <c r="A39" s="437">
        <v>1.5</v>
      </c>
      <c r="B39" s="459" t="s">
        <v>511</v>
      </c>
      <c r="C39" s="481">
        <f t="shared" si="12"/>
        <v>60380880</v>
      </c>
      <c r="D39" s="460">
        <v>43576022</v>
      </c>
      <c r="E39" s="481">
        <f>16772158+32700</f>
        <v>16804858</v>
      </c>
      <c r="F39" s="481">
        <f>9000+1644502</f>
        <v>1653502</v>
      </c>
      <c r="G39" s="481">
        <v>0</v>
      </c>
      <c r="H39" s="481">
        <f t="shared" si="13"/>
        <v>58727378</v>
      </c>
      <c r="I39" s="481">
        <f t="shared" si="14"/>
        <v>36248356</v>
      </c>
      <c r="J39" s="481">
        <f>4710195+618502</f>
        <v>5328697</v>
      </c>
      <c r="K39" s="481">
        <v>302350</v>
      </c>
      <c r="L39" s="481">
        <v>0</v>
      </c>
      <c r="M39" s="481">
        <f>32996703+32700-149090-618502-1615007+29495-58990</f>
        <v>30617309</v>
      </c>
      <c r="N39" s="481">
        <v>0</v>
      </c>
      <c r="O39" s="481"/>
      <c r="P39" s="481"/>
      <c r="Q39" s="481"/>
      <c r="R39" s="481">
        <f>22329932+149090</f>
        <v>22479022</v>
      </c>
      <c r="S39" s="480">
        <f t="shared" si="10"/>
        <v>53096331</v>
      </c>
      <c r="T39" s="507">
        <f t="shared" si="11"/>
        <v>15.534627280751712</v>
      </c>
      <c r="U39" s="432">
        <f t="shared" si="2"/>
        <v>0</v>
      </c>
    </row>
    <row r="40" spans="1:21" s="413" customFormat="1" ht="30.75" customHeight="1">
      <c r="A40" s="437">
        <v>1.6</v>
      </c>
      <c r="B40" s="459" t="s">
        <v>558</v>
      </c>
      <c r="C40" s="481">
        <f t="shared" si="12"/>
        <v>25470698</v>
      </c>
      <c r="D40" s="460">
        <v>14632192</v>
      </c>
      <c r="E40" s="481">
        <v>10838506</v>
      </c>
      <c r="F40" s="481">
        <f>200+32800</f>
        <v>33000</v>
      </c>
      <c r="G40" s="481"/>
      <c r="H40" s="481">
        <f t="shared" si="13"/>
        <v>25437698</v>
      </c>
      <c r="I40" s="481">
        <f t="shared" si="14"/>
        <v>23676196</v>
      </c>
      <c r="J40" s="481">
        <f>155773-32800</f>
        <v>122973</v>
      </c>
      <c r="K40" s="481">
        <v>2550</v>
      </c>
      <c r="L40" s="481">
        <v>29495</v>
      </c>
      <c r="M40" s="481">
        <v>23521178</v>
      </c>
      <c r="N40" s="481"/>
      <c r="O40" s="481"/>
      <c r="P40" s="481"/>
      <c r="Q40" s="481"/>
      <c r="R40" s="481">
        <v>1761502</v>
      </c>
      <c r="S40" s="480">
        <f t="shared" si="10"/>
        <v>25282680</v>
      </c>
      <c r="T40" s="507">
        <f t="shared" si="11"/>
        <v>0.6547420033184385</v>
      </c>
      <c r="U40" s="432">
        <f t="shared" si="2"/>
        <v>0</v>
      </c>
    </row>
    <row r="41" spans="1:21" s="413" customFormat="1" ht="30.75" customHeight="1">
      <c r="A41" s="508">
        <v>2</v>
      </c>
      <c r="B41" s="517" t="s">
        <v>458</v>
      </c>
      <c r="C41" s="510">
        <f aca="true" t="shared" si="15" ref="C41:R41">SUM(C42:C44)</f>
        <v>66633438</v>
      </c>
      <c r="D41" s="593">
        <f t="shared" si="15"/>
        <v>57165074</v>
      </c>
      <c r="E41" s="510">
        <f t="shared" si="15"/>
        <v>9468364</v>
      </c>
      <c r="F41" s="510">
        <f t="shared" si="15"/>
        <v>730024</v>
      </c>
      <c r="G41" s="510">
        <f t="shared" si="15"/>
        <v>0</v>
      </c>
      <c r="H41" s="510">
        <f t="shared" si="15"/>
        <v>65903414</v>
      </c>
      <c r="I41" s="510">
        <f t="shared" si="15"/>
        <v>22247853</v>
      </c>
      <c r="J41" s="510">
        <f t="shared" si="15"/>
        <v>3641833</v>
      </c>
      <c r="K41" s="510">
        <f t="shared" si="15"/>
        <v>4374404</v>
      </c>
      <c r="L41" s="510">
        <f t="shared" si="15"/>
        <v>5306</v>
      </c>
      <c r="M41" s="510">
        <f t="shared" si="15"/>
        <v>13704470</v>
      </c>
      <c r="N41" s="510">
        <f t="shared" si="15"/>
        <v>0</v>
      </c>
      <c r="O41" s="510">
        <f t="shared" si="15"/>
        <v>0</v>
      </c>
      <c r="P41" s="510">
        <f t="shared" si="15"/>
        <v>0</v>
      </c>
      <c r="Q41" s="510">
        <f t="shared" si="15"/>
        <v>521840</v>
      </c>
      <c r="R41" s="510">
        <f t="shared" si="15"/>
        <v>43655561</v>
      </c>
      <c r="S41" s="511">
        <f t="shared" si="10"/>
        <v>57881871</v>
      </c>
      <c r="T41" s="512">
        <f t="shared" si="11"/>
        <v>36.05535779115405</v>
      </c>
      <c r="U41" s="513">
        <f t="shared" si="2"/>
        <v>0</v>
      </c>
    </row>
    <row r="42" spans="1:21" s="413" customFormat="1" ht="30.75" customHeight="1">
      <c r="A42" s="437">
        <v>2.1</v>
      </c>
      <c r="B42" s="446" t="s">
        <v>459</v>
      </c>
      <c r="C42" s="481">
        <f>D42+E42</f>
        <v>644773</v>
      </c>
      <c r="D42" s="460">
        <v>339640</v>
      </c>
      <c r="E42" s="481">
        <v>305133</v>
      </c>
      <c r="F42" s="481">
        <f>C42-H42</f>
        <v>0</v>
      </c>
      <c r="G42" s="481"/>
      <c r="H42" s="481">
        <f>I42+R42</f>
        <v>644773</v>
      </c>
      <c r="I42" s="481">
        <f>J42+K42+L42+M42+N42+O42+P42+Q42</f>
        <v>463392</v>
      </c>
      <c r="J42" s="481">
        <v>334554</v>
      </c>
      <c r="K42" s="481">
        <v>0</v>
      </c>
      <c r="L42" s="481">
        <v>0</v>
      </c>
      <c r="M42" s="481">
        <v>128838</v>
      </c>
      <c r="N42" s="481"/>
      <c r="O42" s="481"/>
      <c r="P42" s="481"/>
      <c r="Q42" s="486"/>
      <c r="R42" s="487">
        <v>181381</v>
      </c>
      <c r="S42" s="480">
        <f t="shared" si="10"/>
        <v>310219</v>
      </c>
      <c r="T42" s="507">
        <f t="shared" si="11"/>
        <v>72.19675782059251</v>
      </c>
      <c r="U42" s="432">
        <f t="shared" si="2"/>
        <v>0</v>
      </c>
    </row>
    <row r="43" spans="1:21" s="413" customFormat="1" ht="30.75" customHeight="1">
      <c r="A43" s="437">
        <v>2.2</v>
      </c>
      <c r="B43" s="446" t="s">
        <v>460</v>
      </c>
      <c r="C43" s="481">
        <f>D43+E43</f>
        <v>12757581</v>
      </c>
      <c r="D43" s="460">
        <v>10300204</v>
      </c>
      <c r="E43" s="481">
        <v>2457377</v>
      </c>
      <c r="F43" s="481">
        <f>C43-H43</f>
        <v>730024</v>
      </c>
      <c r="G43" s="481"/>
      <c r="H43" s="481">
        <f>I43+R43</f>
        <v>12027557</v>
      </c>
      <c r="I43" s="481">
        <f>J43+K43+L43+M43+N43+O43+P43+Q43</f>
        <v>10069627</v>
      </c>
      <c r="J43" s="481">
        <v>2700417</v>
      </c>
      <c r="K43" s="481">
        <v>3130</v>
      </c>
      <c r="L43" s="481">
        <v>5306</v>
      </c>
      <c r="M43" s="481">
        <v>7360774</v>
      </c>
      <c r="N43" s="481"/>
      <c r="O43" s="481"/>
      <c r="P43" s="481"/>
      <c r="Q43" s="486">
        <v>0</v>
      </c>
      <c r="R43" s="487">
        <v>1957930</v>
      </c>
      <c r="S43" s="480">
        <f t="shared" si="10"/>
        <v>9318704</v>
      </c>
      <c r="T43" s="507">
        <f t="shared" si="11"/>
        <v>26.90122484179404</v>
      </c>
      <c r="U43" s="432">
        <f t="shared" si="2"/>
        <v>0</v>
      </c>
    </row>
    <row r="44" spans="1:21" s="413" customFormat="1" ht="30.75" customHeight="1">
      <c r="A44" s="437">
        <v>2.3</v>
      </c>
      <c r="B44" s="446" t="s">
        <v>461</v>
      </c>
      <c r="C44" s="481">
        <f>D44+E44</f>
        <v>53231084</v>
      </c>
      <c r="D44" s="460">
        <v>46525230</v>
      </c>
      <c r="E44" s="481">
        <v>6705854</v>
      </c>
      <c r="F44" s="481">
        <f>C44-H44</f>
        <v>0</v>
      </c>
      <c r="G44" s="481"/>
      <c r="H44" s="481">
        <f>I44+R44</f>
        <v>53231084</v>
      </c>
      <c r="I44" s="481">
        <f>J44+K44+L44+M44+N44+O44+P44+Q44</f>
        <v>11714834</v>
      </c>
      <c r="J44" s="481">
        <v>606862</v>
      </c>
      <c r="K44" s="481">
        <v>4371274</v>
      </c>
      <c r="L44" s="481">
        <v>0</v>
      </c>
      <c r="M44" s="481">
        <v>6214858</v>
      </c>
      <c r="N44" s="481"/>
      <c r="O44" s="481"/>
      <c r="P44" s="481"/>
      <c r="Q44" s="486">
        <v>521840</v>
      </c>
      <c r="R44" s="487">
        <v>41516250</v>
      </c>
      <c r="S44" s="480">
        <f t="shared" si="10"/>
        <v>48252948</v>
      </c>
      <c r="T44" s="507">
        <f t="shared" si="11"/>
        <v>42.494293986581454</v>
      </c>
      <c r="U44" s="432">
        <f t="shared" si="2"/>
        <v>0</v>
      </c>
    </row>
    <row r="45" spans="1:21" s="413" customFormat="1" ht="22.5" customHeight="1">
      <c r="A45" s="508">
        <v>3</v>
      </c>
      <c r="B45" s="517" t="s">
        <v>463</v>
      </c>
      <c r="C45" s="518">
        <f>SUM(C46:C48)</f>
        <v>30587500</v>
      </c>
      <c r="D45" s="594">
        <f aca="true" t="shared" si="16" ref="D45:R45">SUM(D46:D48)</f>
        <v>16282096</v>
      </c>
      <c r="E45" s="518">
        <f t="shared" si="16"/>
        <v>14305404</v>
      </c>
      <c r="F45" s="518">
        <f t="shared" si="16"/>
        <v>4804592</v>
      </c>
      <c r="G45" s="518">
        <f t="shared" si="16"/>
        <v>0</v>
      </c>
      <c r="H45" s="518">
        <f t="shared" si="16"/>
        <v>25782908</v>
      </c>
      <c r="I45" s="518">
        <f t="shared" si="16"/>
        <v>21311968</v>
      </c>
      <c r="J45" s="518">
        <f t="shared" si="16"/>
        <v>700807</v>
      </c>
      <c r="K45" s="518">
        <f t="shared" si="16"/>
        <v>70000</v>
      </c>
      <c r="L45" s="518">
        <f t="shared" si="16"/>
        <v>0</v>
      </c>
      <c r="M45" s="518">
        <f t="shared" si="16"/>
        <v>20466122</v>
      </c>
      <c r="N45" s="518">
        <f t="shared" si="16"/>
        <v>0</v>
      </c>
      <c r="O45" s="518">
        <f t="shared" si="16"/>
        <v>0</v>
      </c>
      <c r="P45" s="518">
        <f t="shared" si="16"/>
        <v>0</v>
      </c>
      <c r="Q45" s="518">
        <f t="shared" si="16"/>
        <v>75039</v>
      </c>
      <c r="R45" s="518">
        <f t="shared" si="16"/>
        <v>4470940</v>
      </c>
      <c r="S45" s="511">
        <f t="shared" si="10"/>
        <v>25012101</v>
      </c>
      <c r="T45" s="512">
        <f t="shared" si="11"/>
        <v>3.6167800176877143</v>
      </c>
      <c r="U45" s="513">
        <f t="shared" si="2"/>
        <v>0</v>
      </c>
    </row>
    <row r="46" spans="1:21" s="406" customFormat="1" ht="30.75" customHeight="1">
      <c r="A46" s="437">
        <v>3.1</v>
      </c>
      <c r="B46" s="447" t="s">
        <v>464</v>
      </c>
      <c r="C46" s="488">
        <f>D46+E46</f>
        <v>16840223</v>
      </c>
      <c r="D46" s="595">
        <f>5108463</f>
        <v>5108463</v>
      </c>
      <c r="E46" s="488">
        <v>11731760</v>
      </c>
      <c r="F46" s="488">
        <v>4658109</v>
      </c>
      <c r="G46" s="488"/>
      <c r="H46" s="488">
        <f>I46+R46</f>
        <v>12182114</v>
      </c>
      <c r="I46" s="488">
        <f>SUM(J46:Q46)</f>
        <v>12062165</v>
      </c>
      <c r="J46" s="488">
        <v>244740</v>
      </c>
      <c r="K46" s="488">
        <v>70000</v>
      </c>
      <c r="L46" s="488"/>
      <c r="M46" s="488">
        <v>11672386</v>
      </c>
      <c r="N46" s="488"/>
      <c r="O46" s="488">
        <v>0</v>
      </c>
      <c r="P46" s="488"/>
      <c r="Q46" s="488">
        <v>75039</v>
      </c>
      <c r="R46" s="489">
        <v>119949</v>
      </c>
      <c r="S46" s="480">
        <f t="shared" si="10"/>
        <v>11867374</v>
      </c>
      <c r="T46" s="507">
        <f t="shared" si="11"/>
        <v>2.6093159892937963</v>
      </c>
      <c r="U46" s="432">
        <f t="shared" si="2"/>
        <v>0</v>
      </c>
    </row>
    <row r="47" spans="1:21" s="406" customFormat="1" ht="30.75" customHeight="1">
      <c r="A47" s="437">
        <v>3.2</v>
      </c>
      <c r="B47" s="447" t="s">
        <v>465</v>
      </c>
      <c r="C47" s="488">
        <f>D47+E47</f>
        <v>9425535</v>
      </c>
      <c r="D47" s="595">
        <v>6979833</v>
      </c>
      <c r="E47" s="488">
        <f>2445702</f>
        <v>2445702</v>
      </c>
      <c r="F47" s="488">
        <v>146483</v>
      </c>
      <c r="G47" s="488"/>
      <c r="H47" s="488">
        <f>I47+R47</f>
        <v>9279052</v>
      </c>
      <c r="I47" s="488">
        <f>SUM(J47:Q47)</f>
        <v>5809549</v>
      </c>
      <c r="J47" s="488">
        <v>427740</v>
      </c>
      <c r="K47" s="488">
        <v>0</v>
      </c>
      <c r="L47" s="488">
        <v>0</v>
      </c>
      <c r="M47" s="488">
        <v>5381809</v>
      </c>
      <c r="N47" s="488">
        <v>0</v>
      </c>
      <c r="O47" s="488">
        <v>0</v>
      </c>
      <c r="P47" s="488">
        <v>0</v>
      </c>
      <c r="Q47" s="488">
        <v>0</v>
      </c>
      <c r="R47" s="489">
        <f>3469503</f>
        <v>3469503</v>
      </c>
      <c r="S47" s="480">
        <f t="shared" si="10"/>
        <v>8851312</v>
      </c>
      <c r="T47" s="507">
        <f t="shared" si="11"/>
        <v>7.362705779742972</v>
      </c>
      <c r="U47" s="432">
        <f t="shared" si="2"/>
        <v>0</v>
      </c>
    </row>
    <row r="48" spans="1:21" s="406" customFormat="1" ht="30.75" customHeight="1">
      <c r="A48" s="437">
        <v>3.3</v>
      </c>
      <c r="B48" s="447" t="s">
        <v>466</v>
      </c>
      <c r="C48" s="488">
        <f>D48+E48</f>
        <v>4321742</v>
      </c>
      <c r="D48" s="595">
        <v>4193800</v>
      </c>
      <c r="E48" s="488">
        <v>127942</v>
      </c>
      <c r="F48" s="488">
        <v>0</v>
      </c>
      <c r="G48" s="488"/>
      <c r="H48" s="488">
        <f>I48+R48</f>
        <v>4321742</v>
      </c>
      <c r="I48" s="488">
        <f>SUM(J48:Q48)</f>
        <v>3440254</v>
      </c>
      <c r="J48" s="488">
        <v>28327</v>
      </c>
      <c r="K48" s="488">
        <v>0</v>
      </c>
      <c r="L48" s="488">
        <v>0</v>
      </c>
      <c r="M48" s="488">
        <v>3411927</v>
      </c>
      <c r="N48" s="488">
        <v>0</v>
      </c>
      <c r="O48" s="488">
        <v>0</v>
      </c>
      <c r="P48" s="488">
        <v>0</v>
      </c>
      <c r="Q48" s="488">
        <v>0</v>
      </c>
      <c r="R48" s="489">
        <v>881488</v>
      </c>
      <c r="S48" s="480">
        <f t="shared" si="10"/>
        <v>4293415</v>
      </c>
      <c r="T48" s="507">
        <f t="shared" si="11"/>
        <v>0.8233985048778375</v>
      </c>
      <c r="U48" s="432">
        <f t="shared" si="2"/>
        <v>0</v>
      </c>
    </row>
    <row r="49" spans="1:21" s="413" customFormat="1" ht="30.75" customHeight="1">
      <c r="A49" s="508">
        <v>4</v>
      </c>
      <c r="B49" s="517" t="s">
        <v>467</v>
      </c>
      <c r="C49" s="510">
        <f>C50</f>
        <v>1500</v>
      </c>
      <c r="D49" s="593">
        <f aca="true" t="shared" si="17" ref="D49:R49">D50</f>
        <v>0</v>
      </c>
      <c r="E49" s="510">
        <f t="shared" si="17"/>
        <v>1500</v>
      </c>
      <c r="F49" s="510">
        <f t="shared" si="17"/>
        <v>0</v>
      </c>
      <c r="G49" s="510">
        <f t="shared" si="17"/>
        <v>0</v>
      </c>
      <c r="H49" s="510">
        <f t="shared" si="17"/>
        <v>1500</v>
      </c>
      <c r="I49" s="510">
        <f t="shared" si="17"/>
        <v>1500</v>
      </c>
      <c r="J49" s="510">
        <f t="shared" si="17"/>
        <v>1500</v>
      </c>
      <c r="K49" s="510">
        <f t="shared" si="17"/>
        <v>0</v>
      </c>
      <c r="L49" s="510">
        <f t="shared" si="17"/>
        <v>0</v>
      </c>
      <c r="M49" s="510">
        <f t="shared" si="17"/>
        <v>0</v>
      </c>
      <c r="N49" s="510">
        <f t="shared" si="17"/>
        <v>0</v>
      </c>
      <c r="O49" s="510">
        <f t="shared" si="17"/>
        <v>0</v>
      </c>
      <c r="P49" s="510">
        <f t="shared" si="17"/>
        <v>0</v>
      </c>
      <c r="Q49" s="510">
        <f t="shared" si="17"/>
        <v>0</v>
      </c>
      <c r="R49" s="510">
        <f t="shared" si="17"/>
        <v>0</v>
      </c>
      <c r="S49" s="511">
        <f t="shared" si="10"/>
        <v>0</v>
      </c>
      <c r="T49" s="512">
        <f t="shared" si="11"/>
        <v>100</v>
      </c>
      <c r="U49" s="513">
        <f t="shared" si="2"/>
        <v>0</v>
      </c>
    </row>
    <row r="50" spans="1:21" s="413" customFormat="1" ht="30.75" customHeight="1">
      <c r="A50" s="437" t="s">
        <v>111</v>
      </c>
      <c r="B50" s="458" t="s">
        <v>468</v>
      </c>
      <c r="C50" s="485">
        <f>D50+E50</f>
        <v>1500</v>
      </c>
      <c r="D50" s="596"/>
      <c r="E50" s="485">
        <v>1500</v>
      </c>
      <c r="F50" s="485"/>
      <c r="G50" s="485"/>
      <c r="H50" s="485">
        <f>I50+R50</f>
        <v>1500</v>
      </c>
      <c r="I50" s="485">
        <f>SUM(J50:Q50)</f>
        <v>1500</v>
      </c>
      <c r="J50" s="485">
        <v>1500</v>
      </c>
      <c r="K50" s="485"/>
      <c r="L50" s="490"/>
      <c r="M50" s="490"/>
      <c r="N50" s="490"/>
      <c r="O50" s="491"/>
      <c r="P50" s="491"/>
      <c r="Q50" s="491"/>
      <c r="R50" s="491"/>
      <c r="S50" s="480">
        <f t="shared" si="10"/>
        <v>0</v>
      </c>
      <c r="T50" s="507">
        <f t="shared" si="11"/>
        <v>100</v>
      </c>
      <c r="U50" s="432">
        <f t="shared" si="2"/>
        <v>0</v>
      </c>
    </row>
    <row r="51" spans="1:21" s="413" customFormat="1" ht="30.75" customHeight="1">
      <c r="A51" s="508">
        <v>5</v>
      </c>
      <c r="B51" s="517" t="s">
        <v>469</v>
      </c>
      <c r="C51" s="519">
        <f>SUM(C52:C60)</f>
        <v>572831714</v>
      </c>
      <c r="D51" s="597">
        <f aca="true" t="shared" si="18" ref="D51:R51">SUM(D52:D60)</f>
        <v>488927313</v>
      </c>
      <c r="E51" s="519">
        <f t="shared" si="18"/>
        <v>83904401</v>
      </c>
      <c r="F51" s="519">
        <f t="shared" si="18"/>
        <v>46000781</v>
      </c>
      <c r="G51" s="519">
        <f t="shared" si="18"/>
        <v>0</v>
      </c>
      <c r="H51" s="519">
        <f t="shared" si="18"/>
        <v>526830933</v>
      </c>
      <c r="I51" s="519">
        <f t="shared" si="18"/>
        <v>221050085</v>
      </c>
      <c r="J51" s="519">
        <f t="shared" si="18"/>
        <v>48388442</v>
      </c>
      <c r="K51" s="519">
        <f t="shared" si="18"/>
        <v>1673783</v>
      </c>
      <c r="L51" s="519">
        <f t="shared" si="18"/>
        <v>0</v>
      </c>
      <c r="M51" s="519">
        <f t="shared" si="18"/>
        <v>170975860</v>
      </c>
      <c r="N51" s="519">
        <f t="shared" si="18"/>
        <v>0</v>
      </c>
      <c r="O51" s="519">
        <f t="shared" si="18"/>
        <v>0</v>
      </c>
      <c r="P51" s="519">
        <f t="shared" si="18"/>
        <v>0</v>
      </c>
      <c r="Q51" s="519">
        <f t="shared" si="18"/>
        <v>12000</v>
      </c>
      <c r="R51" s="519">
        <f t="shared" si="18"/>
        <v>305780848</v>
      </c>
      <c r="S51" s="511">
        <f t="shared" si="10"/>
        <v>476768708</v>
      </c>
      <c r="T51" s="512">
        <f t="shared" si="11"/>
        <v>22.647457927917106</v>
      </c>
      <c r="U51" s="513">
        <f t="shared" si="2"/>
        <v>0</v>
      </c>
    </row>
    <row r="52" spans="1:21" s="413" customFormat="1" ht="30.75" customHeight="1">
      <c r="A52" s="439" t="s">
        <v>112</v>
      </c>
      <c r="B52" s="504" t="s">
        <v>470</v>
      </c>
      <c r="C52" s="492">
        <v>49705867</v>
      </c>
      <c r="D52" s="598">
        <v>7037340</v>
      </c>
      <c r="E52" s="492">
        <v>42668527</v>
      </c>
      <c r="F52" s="492">
        <v>31798721</v>
      </c>
      <c r="G52" s="492">
        <v>0</v>
      </c>
      <c r="H52" s="492">
        <v>17907146</v>
      </c>
      <c r="I52" s="492">
        <f>J52+K52+L52+M52+N52+O52+P52+Q52</f>
        <v>16672863</v>
      </c>
      <c r="J52" s="492">
        <v>6642418</v>
      </c>
      <c r="K52" s="492">
        <v>0</v>
      </c>
      <c r="L52" s="492">
        <v>0</v>
      </c>
      <c r="M52" s="493">
        <v>10030445</v>
      </c>
      <c r="N52" s="492">
        <v>0</v>
      </c>
      <c r="O52" s="492">
        <v>0</v>
      </c>
      <c r="P52" s="492">
        <v>0</v>
      </c>
      <c r="Q52" s="494">
        <v>0</v>
      </c>
      <c r="R52" s="494">
        <v>1234283</v>
      </c>
      <c r="S52" s="480">
        <f t="shared" si="10"/>
        <v>11264728</v>
      </c>
      <c r="T52" s="507">
        <f t="shared" si="11"/>
        <v>39.83969639767327</v>
      </c>
      <c r="U52" s="432">
        <f t="shared" si="2"/>
        <v>0</v>
      </c>
    </row>
    <row r="53" spans="1:21" s="413" customFormat="1" ht="30.75" customHeight="1">
      <c r="A53" s="439" t="s">
        <v>113</v>
      </c>
      <c r="B53" s="504" t="s">
        <v>471</v>
      </c>
      <c r="C53" s="492">
        <f>D53+E53</f>
        <v>115533121</v>
      </c>
      <c r="D53" s="598">
        <f>118036681-2700858</f>
        <v>115335823</v>
      </c>
      <c r="E53" s="492">
        <v>197298</v>
      </c>
      <c r="F53" s="492">
        <v>10127</v>
      </c>
      <c r="G53" s="492">
        <v>0</v>
      </c>
      <c r="H53" s="492">
        <f>C53-F53-G53</f>
        <v>115522994</v>
      </c>
      <c r="I53" s="492">
        <f>J53+K53+L53+M53+N53+O53+P53+Q53</f>
        <v>47569953</v>
      </c>
      <c r="J53" s="492">
        <v>17669314</v>
      </c>
      <c r="K53" s="492">
        <v>5050</v>
      </c>
      <c r="L53" s="492">
        <v>0</v>
      </c>
      <c r="M53" s="493">
        <f>32584447-2700858</f>
        <v>29883589</v>
      </c>
      <c r="N53" s="492">
        <v>0</v>
      </c>
      <c r="O53" s="492">
        <v>0</v>
      </c>
      <c r="P53" s="492">
        <v>0</v>
      </c>
      <c r="Q53" s="494">
        <v>12000</v>
      </c>
      <c r="R53" s="494">
        <f>H53-I53</f>
        <v>67953041</v>
      </c>
      <c r="S53" s="480">
        <f t="shared" si="10"/>
        <v>97848630</v>
      </c>
      <c r="T53" s="507">
        <f t="shared" si="11"/>
        <v>37.15447017574308</v>
      </c>
      <c r="U53" s="432">
        <f t="shared" si="2"/>
        <v>0</v>
      </c>
    </row>
    <row r="54" spans="1:21" s="413" customFormat="1" ht="30.75" customHeight="1">
      <c r="A54" s="439" t="s">
        <v>114</v>
      </c>
      <c r="B54" s="504" t="s">
        <v>610</v>
      </c>
      <c r="C54" s="492">
        <v>18150140</v>
      </c>
      <c r="D54" s="598">
        <v>17942554</v>
      </c>
      <c r="E54" s="492">
        <v>207586</v>
      </c>
      <c r="F54" s="492">
        <v>8219945</v>
      </c>
      <c r="G54" s="492">
        <v>0</v>
      </c>
      <c r="H54" s="492">
        <v>9930195</v>
      </c>
      <c r="I54" s="492">
        <v>2032484</v>
      </c>
      <c r="J54" s="492">
        <v>121972</v>
      </c>
      <c r="K54" s="492">
        <v>0</v>
      </c>
      <c r="L54" s="492">
        <v>0</v>
      </c>
      <c r="M54" s="493">
        <v>1910512</v>
      </c>
      <c r="N54" s="492">
        <v>0</v>
      </c>
      <c r="O54" s="492">
        <v>0</v>
      </c>
      <c r="P54" s="492">
        <v>0</v>
      </c>
      <c r="Q54" s="494">
        <v>0</v>
      </c>
      <c r="R54" s="494">
        <v>7897711</v>
      </c>
      <c r="S54" s="480">
        <f t="shared" si="10"/>
        <v>9808223</v>
      </c>
      <c r="T54" s="507">
        <f t="shared" si="11"/>
        <v>6.001129652189144</v>
      </c>
      <c r="U54" s="432">
        <f t="shared" si="2"/>
        <v>0</v>
      </c>
    </row>
    <row r="55" spans="1:21" s="413" customFormat="1" ht="30.75" customHeight="1">
      <c r="A55" s="439" t="s">
        <v>473</v>
      </c>
      <c r="B55" s="504" t="s">
        <v>474</v>
      </c>
      <c r="C55" s="492">
        <v>16462219</v>
      </c>
      <c r="D55" s="598">
        <v>14019593</v>
      </c>
      <c r="E55" s="492">
        <v>2442626</v>
      </c>
      <c r="F55" s="492">
        <v>287827</v>
      </c>
      <c r="G55" s="492">
        <v>0</v>
      </c>
      <c r="H55" s="492">
        <v>16174392</v>
      </c>
      <c r="I55" s="492">
        <f aca="true" t="shared" si="19" ref="I55:I60">J55+K55+L55+M55+N55+O55+P55+Q55</f>
        <v>5601296</v>
      </c>
      <c r="J55" s="492">
        <v>1572315</v>
      </c>
      <c r="K55" s="492">
        <v>26480</v>
      </c>
      <c r="L55" s="492">
        <v>0</v>
      </c>
      <c r="M55" s="493">
        <v>4002501</v>
      </c>
      <c r="N55" s="492">
        <v>0</v>
      </c>
      <c r="O55" s="492">
        <v>0</v>
      </c>
      <c r="P55" s="492">
        <v>0</v>
      </c>
      <c r="Q55" s="494">
        <v>0</v>
      </c>
      <c r="R55" s="494">
        <v>10573096</v>
      </c>
      <c r="S55" s="480">
        <f t="shared" si="10"/>
        <v>14575597</v>
      </c>
      <c r="T55" s="507">
        <f t="shared" si="11"/>
        <v>28.543304977990807</v>
      </c>
      <c r="U55" s="432">
        <f t="shared" si="2"/>
        <v>0</v>
      </c>
    </row>
    <row r="56" spans="1:21" s="413" customFormat="1" ht="30.75" customHeight="1">
      <c r="A56" s="439" t="s">
        <v>475</v>
      </c>
      <c r="B56" s="504" t="s">
        <v>541</v>
      </c>
      <c r="C56" s="492">
        <v>51420795</v>
      </c>
      <c r="D56" s="598">
        <v>47752970</v>
      </c>
      <c r="E56" s="492">
        <v>3667825</v>
      </c>
      <c r="F56" s="492">
        <v>1215838</v>
      </c>
      <c r="G56" s="492">
        <v>0</v>
      </c>
      <c r="H56" s="492">
        <v>50204957</v>
      </c>
      <c r="I56" s="492">
        <f t="shared" si="19"/>
        <v>25736568</v>
      </c>
      <c r="J56" s="492">
        <v>1827821</v>
      </c>
      <c r="K56" s="492">
        <v>64866</v>
      </c>
      <c r="L56" s="492">
        <v>0</v>
      </c>
      <c r="M56" s="493">
        <v>23843881</v>
      </c>
      <c r="N56" s="492">
        <v>0</v>
      </c>
      <c r="O56" s="492">
        <v>0</v>
      </c>
      <c r="P56" s="492">
        <v>0</v>
      </c>
      <c r="Q56" s="494">
        <v>0</v>
      </c>
      <c r="R56" s="494">
        <v>24468389</v>
      </c>
      <c r="S56" s="480">
        <f t="shared" si="10"/>
        <v>48312270</v>
      </c>
      <c r="T56" s="507">
        <f t="shared" si="11"/>
        <v>7.354076891681906</v>
      </c>
      <c r="U56" s="432">
        <f t="shared" si="2"/>
        <v>0</v>
      </c>
    </row>
    <row r="57" spans="1:21" s="413" customFormat="1" ht="30.75" customHeight="1">
      <c r="A57" s="439" t="s">
        <v>477</v>
      </c>
      <c r="B57" s="504" t="s">
        <v>611</v>
      </c>
      <c r="C57" s="492">
        <v>15682126</v>
      </c>
      <c r="D57" s="598">
        <v>9589373</v>
      </c>
      <c r="E57" s="492">
        <v>6092753</v>
      </c>
      <c r="F57" s="492">
        <v>0</v>
      </c>
      <c r="G57" s="492">
        <v>0</v>
      </c>
      <c r="H57" s="492">
        <v>15682126</v>
      </c>
      <c r="I57" s="492">
        <f t="shared" si="19"/>
        <v>6201195</v>
      </c>
      <c r="J57" s="492">
        <v>1506557</v>
      </c>
      <c r="K57" s="492">
        <v>1073039</v>
      </c>
      <c r="L57" s="492">
        <v>0</v>
      </c>
      <c r="M57" s="493">
        <v>3621599</v>
      </c>
      <c r="N57" s="492">
        <v>0</v>
      </c>
      <c r="O57" s="492">
        <v>0</v>
      </c>
      <c r="P57" s="492">
        <v>0</v>
      </c>
      <c r="Q57" s="494">
        <v>0</v>
      </c>
      <c r="R57" s="494">
        <v>9480931</v>
      </c>
      <c r="S57" s="480">
        <f t="shared" si="10"/>
        <v>13102530</v>
      </c>
      <c r="T57" s="507">
        <f t="shared" si="11"/>
        <v>41.59836934655337</v>
      </c>
      <c r="U57" s="432">
        <f t="shared" si="2"/>
        <v>0</v>
      </c>
    </row>
    <row r="58" spans="1:21" s="413" customFormat="1" ht="30.75" customHeight="1">
      <c r="A58" s="439" t="s">
        <v>478</v>
      </c>
      <c r="B58" s="504" t="s">
        <v>476</v>
      </c>
      <c r="C58" s="492">
        <v>71762094</v>
      </c>
      <c r="D58" s="598">
        <v>62218961</v>
      </c>
      <c r="E58" s="492">
        <v>9543133</v>
      </c>
      <c r="F58" s="492">
        <v>4700</v>
      </c>
      <c r="G58" s="492">
        <v>0</v>
      </c>
      <c r="H58" s="492">
        <v>71757394</v>
      </c>
      <c r="I58" s="492">
        <f t="shared" si="19"/>
        <v>70935643</v>
      </c>
      <c r="J58" s="492">
        <v>15714520</v>
      </c>
      <c r="K58" s="492">
        <v>0</v>
      </c>
      <c r="L58" s="492">
        <v>0</v>
      </c>
      <c r="M58" s="493">
        <v>55221123</v>
      </c>
      <c r="N58" s="492">
        <v>0</v>
      </c>
      <c r="O58" s="492">
        <v>0</v>
      </c>
      <c r="P58" s="492">
        <v>0</v>
      </c>
      <c r="Q58" s="494">
        <v>0</v>
      </c>
      <c r="R58" s="494">
        <v>821751</v>
      </c>
      <c r="S58" s="480">
        <f t="shared" si="10"/>
        <v>56042874</v>
      </c>
      <c r="T58" s="507">
        <f t="shared" si="11"/>
        <v>22.153207238848882</v>
      </c>
      <c r="U58" s="432">
        <f t="shared" si="2"/>
        <v>0</v>
      </c>
    </row>
    <row r="59" spans="1:21" s="413" customFormat="1" ht="30.75" customHeight="1">
      <c r="A59" s="439" t="s">
        <v>613</v>
      </c>
      <c r="B59" s="504" t="s">
        <v>612</v>
      </c>
      <c r="C59" s="492">
        <v>189119823</v>
      </c>
      <c r="D59" s="598">
        <v>175103546</v>
      </c>
      <c r="E59" s="492">
        <v>14016277</v>
      </c>
      <c r="F59" s="492">
        <v>4439572</v>
      </c>
      <c r="G59" s="492">
        <v>0</v>
      </c>
      <c r="H59" s="492">
        <v>184680251</v>
      </c>
      <c r="I59" s="492">
        <f t="shared" si="19"/>
        <v>12730045</v>
      </c>
      <c r="J59" s="492">
        <v>1666433</v>
      </c>
      <c r="K59" s="492">
        <v>504348</v>
      </c>
      <c r="L59" s="492">
        <v>0</v>
      </c>
      <c r="M59" s="493">
        <v>10559264</v>
      </c>
      <c r="N59" s="492">
        <v>0</v>
      </c>
      <c r="O59" s="492">
        <v>0</v>
      </c>
      <c r="P59" s="492">
        <v>0</v>
      </c>
      <c r="Q59" s="494">
        <v>0</v>
      </c>
      <c r="R59" s="494">
        <v>171950206</v>
      </c>
      <c r="S59" s="480">
        <f t="shared" si="10"/>
        <v>182509470</v>
      </c>
      <c r="T59" s="507">
        <f t="shared" si="11"/>
        <v>17.052422045640846</v>
      </c>
      <c r="U59" s="432"/>
    </row>
    <row r="60" spans="1:21" s="413" customFormat="1" ht="30.75" customHeight="1">
      <c r="A60" s="439" t="s">
        <v>614</v>
      </c>
      <c r="B60" s="504" t="s">
        <v>479</v>
      </c>
      <c r="C60" s="492">
        <v>44995529</v>
      </c>
      <c r="D60" s="598">
        <v>39927153</v>
      </c>
      <c r="E60" s="492">
        <v>5068376</v>
      </c>
      <c r="F60" s="492">
        <v>24051</v>
      </c>
      <c r="G60" s="492">
        <v>0</v>
      </c>
      <c r="H60" s="492">
        <v>44971478</v>
      </c>
      <c r="I60" s="492">
        <f t="shared" si="19"/>
        <v>33570038</v>
      </c>
      <c r="J60" s="492">
        <v>1667092</v>
      </c>
      <c r="K60" s="492">
        <v>0</v>
      </c>
      <c r="L60" s="492">
        <v>0</v>
      </c>
      <c r="M60" s="493">
        <v>31902946</v>
      </c>
      <c r="N60" s="492">
        <v>0</v>
      </c>
      <c r="O60" s="492">
        <v>0</v>
      </c>
      <c r="P60" s="492">
        <v>0</v>
      </c>
      <c r="Q60" s="494">
        <v>0</v>
      </c>
      <c r="R60" s="494">
        <v>11401440</v>
      </c>
      <c r="S60" s="480">
        <f t="shared" si="10"/>
        <v>43304386</v>
      </c>
      <c r="T60" s="507">
        <f t="shared" si="11"/>
        <v>4.966011655989188</v>
      </c>
      <c r="U60" s="432"/>
    </row>
    <row r="61" spans="1:21" s="413" customFormat="1" ht="30.75" customHeight="1">
      <c r="A61" s="508">
        <v>6</v>
      </c>
      <c r="B61" s="517" t="s">
        <v>480</v>
      </c>
      <c r="C61" s="510">
        <f>SUM(C62:C66)</f>
        <v>367886659</v>
      </c>
      <c r="D61" s="593">
        <f aca="true" t="shared" si="20" ref="D61:R61">SUM(D62:D66)</f>
        <v>121652883</v>
      </c>
      <c r="E61" s="510">
        <f t="shared" si="20"/>
        <v>246233776</v>
      </c>
      <c r="F61" s="510">
        <f t="shared" si="20"/>
        <v>58074392</v>
      </c>
      <c r="G61" s="510">
        <f t="shared" si="20"/>
        <v>0</v>
      </c>
      <c r="H61" s="510">
        <f t="shared" si="20"/>
        <v>309812267</v>
      </c>
      <c r="I61" s="510">
        <f t="shared" si="20"/>
        <v>131099118</v>
      </c>
      <c r="J61" s="510">
        <f t="shared" si="20"/>
        <v>27381600</v>
      </c>
      <c r="K61" s="510">
        <f t="shared" si="20"/>
        <v>3247925</v>
      </c>
      <c r="L61" s="510">
        <f t="shared" si="20"/>
        <v>0</v>
      </c>
      <c r="M61" s="510">
        <f t="shared" si="20"/>
        <v>100337643</v>
      </c>
      <c r="N61" s="510">
        <f t="shared" si="20"/>
        <v>131950</v>
      </c>
      <c r="O61" s="510">
        <f t="shared" si="20"/>
        <v>0</v>
      </c>
      <c r="P61" s="510">
        <f t="shared" si="20"/>
        <v>0</v>
      </c>
      <c r="Q61" s="510">
        <f t="shared" si="20"/>
        <v>0</v>
      </c>
      <c r="R61" s="510">
        <f t="shared" si="20"/>
        <v>178713149</v>
      </c>
      <c r="S61" s="511">
        <f t="shared" si="10"/>
        <v>279182742</v>
      </c>
      <c r="T61" s="512">
        <f t="shared" si="11"/>
        <v>23.36363925804596</v>
      </c>
      <c r="U61" s="513">
        <f t="shared" si="2"/>
        <v>0</v>
      </c>
    </row>
    <row r="62" spans="1:21" s="413" customFormat="1" ht="30.75" customHeight="1">
      <c r="A62" s="437">
        <v>6.1</v>
      </c>
      <c r="B62" s="505" t="s">
        <v>583</v>
      </c>
      <c r="C62" s="495">
        <v>80430549</v>
      </c>
      <c r="D62" s="599">
        <v>23493512</v>
      </c>
      <c r="E62" s="495">
        <v>56937037</v>
      </c>
      <c r="F62" s="495">
        <v>19285908</v>
      </c>
      <c r="G62" s="495"/>
      <c r="H62" s="495">
        <v>61144641</v>
      </c>
      <c r="I62" s="495">
        <v>52428034</v>
      </c>
      <c r="J62" s="495">
        <v>25546928</v>
      </c>
      <c r="K62" s="495">
        <v>2269426</v>
      </c>
      <c r="L62" s="495"/>
      <c r="M62" s="495">
        <v>24611680</v>
      </c>
      <c r="N62" s="495"/>
      <c r="O62" s="495"/>
      <c r="P62" s="495"/>
      <c r="Q62" s="495"/>
      <c r="R62" s="495">
        <v>8716607</v>
      </c>
      <c r="S62" s="480">
        <f t="shared" si="10"/>
        <v>33328287</v>
      </c>
      <c r="T62" s="507">
        <f t="shared" si="11"/>
        <v>53.05625993910053</v>
      </c>
      <c r="U62" s="432">
        <f t="shared" si="2"/>
        <v>0</v>
      </c>
    </row>
    <row r="63" spans="1:21" s="413" customFormat="1" ht="30.75" customHeight="1">
      <c r="A63" s="437">
        <v>6.2</v>
      </c>
      <c r="B63" s="505" t="s">
        <v>584</v>
      </c>
      <c r="C63" s="495">
        <v>44924275</v>
      </c>
      <c r="D63" s="599">
        <v>981477</v>
      </c>
      <c r="E63" s="495">
        <v>43942798</v>
      </c>
      <c r="F63" s="495">
        <v>36040508</v>
      </c>
      <c r="G63" s="495"/>
      <c r="H63" s="495">
        <v>8883767</v>
      </c>
      <c r="I63" s="495">
        <v>8018752</v>
      </c>
      <c r="J63" s="495">
        <v>400945</v>
      </c>
      <c r="K63" s="495">
        <v>23685</v>
      </c>
      <c r="L63" s="495"/>
      <c r="M63" s="495">
        <v>7594122</v>
      </c>
      <c r="N63" s="495"/>
      <c r="O63" s="495"/>
      <c r="P63" s="495"/>
      <c r="Q63" s="495"/>
      <c r="R63" s="495">
        <v>865015</v>
      </c>
      <c r="S63" s="480">
        <f t="shared" si="10"/>
        <v>8459137</v>
      </c>
      <c r="T63" s="507">
        <f t="shared" si="11"/>
        <v>5.295462436049899</v>
      </c>
      <c r="U63" s="432">
        <f t="shared" si="2"/>
        <v>0</v>
      </c>
    </row>
    <row r="64" spans="1:21" s="413" customFormat="1" ht="30.75" customHeight="1">
      <c r="A64" s="437">
        <v>6.3</v>
      </c>
      <c r="B64" s="505" t="s">
        <v>481</v>
      </c>
      <c r="C64" s="495">
        <v>121119026</v>
      </c>
      <c r="D64" s="599">
        <v>77199785</v>
      </c>
      <c r="E64" s="495">
        <v>43919241</v>
      </c>
      <c r="F64" s="495">
        <v>1113156</v>
      </c>
      <c r="G64" s="495"/>
      <c r="H64" s="495">
        <v>120005870</v>
      </c>
      <c r="I64" s="495">
        <v>29524202</v>
      </c>
      <c r="J64" s="495">
        <v>254194</v>
      </c>
      <c r="K64" s="495">
        <v>699855</v>
      </c>
      <c r="L64" s="495"/>
      <c r="M64" s="495">
        <v>28438203</v>
      </c>
      <c r="N64" s="495">
        <v>131950</v>
      </c>
      <c r="O64" s="495"/>
      <c r="P64" s="495"/>
      <c r="Q64" s="495"/>
      <c r="R64" s="495">
        <v>90481668</v>
      </c>
      <c r="S64" s="480">
        <f t="shared" si="10"/>
        <v>119051821</v>
      </c>
      <c r="T64" s="507">
        <f t="shared" si="11"/>
        <v>3.231413333373075</v>
      </c>
      <c r="U64" s="432">
        <f t="shared" si="2"/>
        <v>0</v>
      </c>
    </row>
    <row r="65" spans="1:21" s="413" customFormat="1" ht="30.75" customHeight="1">
      <c r="A65" s="437">
        <v>6.4</v>
      </c>
      <c r="B65" s="505" t="s">
        <v>585</v>
      </c>
      <c r="C65" s="495">
        <v>111248342</v>
      </c>
      <c r="D65" s="599">
        <v>17350970</v>
      </c>
      <c r="E65" s="495">
        <v>93897372</v>
      </c>
      <c r="F65" s="495">
        <v>1633770</v>
      </c>
      <c r="G65" s="495"/>
      <c r="H65" s="495">
        <v>109614572</v>
      </c>
      <c r="I65" s="495">
        <v>32427229</v>
      </c>
      <c r="J65" s="495">
        <v>1091543</v>
      </c>
      <c r="K65" s="495">
        <v>245958</v>
      </c>
      <c r="L65" s="495"/>
      <c r="M65" s="495">
        <v>31089728</v>
      </c>
      <c r="N65" s="495"/>
      <c r="O65" s="495"/>
      <c r="P65" s="495"/>
      <c r="Q65" s="495"/>
      <c r="R65" s="495">
        <v>77187343</v>
      </c>
      <c r="S65" s="480">
        <f t="shared" si="10"/>
        <v>108277071</v>
      </c>
      <c r="T65" s="507">
        <f t="shared" si="11"/>
        <v>4.124623167770518</v>
      </c>
      <c r="U65" s="432">
        <f t="shared" si="2"/>
        <v>0</v>
      </c>
    </row>
    <row r="66" spans="1:21" s="413" customFormat="1" ht="30.75" customHeight="1">
      <c r="A66" s="437">
        <v>6.5</v>
      </c>
      <c r="B66" s="505" t="s">
        <v>586</v>
      </c>
      <c r="C66" s="495">
        <v>10164467</v>
      </c>
      <c r="D66" s="599">
        <v>2627139</v>
      </c>
      <c r="E66" s="495">
        <v>7537328</v>
      </c>
      <c r="F66" s="495">
        <v>1050</v>
      </c>
      <c r="G66" s="495"/>
      <c r="H66" s="495">
        <v>10163417</v>
      </c>
      <c r="I66" s="495">
        <v>8700901</v>
      </c>
      <c r="J66" s="495">
        <v>87990</v>
      </c>
      <c r="K66" s="495">
        <v>9001</v>
      </c>
      <c r="L66" s="495"/>
      <c r="M66" s="495">
        <v>8603910</v>
      </c>
      <c r="N66" s="495"/>
      <c r="O66" s="495"/>
      <c r="P66" s="495"/>
      <c r="Q66" s="495"/>
      <c r="R66" s="495">
        <v>1462516</v>
      </c>
      <c r="S66" s="480">
        <f t="shared" si="10"/>
        <v>10066426</v>
      </c>
      <c r="T66" s="507">
        <f t="shared" si="11"/>
        <v>1.1147236360924</v>
      </c>
      <c r="U66" s="432">
        <f t="shared" si="2"/>
        <v>0</v>
      </c>
    </row>
    <row r="67" spans="1:21" s="413" customFormat="1" ht="30.75" customHeight="1">
      <c r="A67" s="508">
        <v>7</v>
      </c>
      <c r="B67" s="509" t="s">
        <v>524</v>
      </c>
      <c r="C67" s="510">
        <f>SUM(C68:C75)</f>
        <v>816765664</v>
      </c>
      <c r="D67" s="593">
        <f aca="true" t="shared" si="21" ref="D67:R67">SUM(D68:D75)</f>
        <v>324285082</v>
      </c>
      <c r="E67" s="510">
        <f t="shared" si="21"/>
        <v>492480582</v>
      </c>
      <c r="F67" s="510">
        <f t="shared" si="21"/>
        <v>35789208</v>
      </c>
      <c r="G67" s="510">
        <f t="shared" si="21"/>
        <v>9109528</v>
      </c>
      <c r="H67" s="510">
        <f t="shared" si="21"/>
        <v>780976456</v>
      </c>
      <c r="I67" s="510">
        <f t="shared" si="21"/>
        <v>633735372</v>
      </c>
      <c r="J67" s="510">
        <f t="shared" si="21"/>
        <v>25501538</v>
      </c>
      <c r="K67" s="510">
        <f t="shared" si="21"/>
        <v>147006337</v>
      </c>
      <c r="L67" s="510">
        <f t="shared" si="21"/>
        <v>0</v>
      </c>
      <c r="M67" s="510">
        <f t="shared" si="21"/>
        <v>461227297</v>
      </c>
      <c r="N67" s="510">
        <f t="shared" si="21"/>
        <v>0</v>
      </c>
      <c r="O67" s="510">
        <f t="shared" si="21"/>
        <v>0</v>
      </c>
      <c r="P67" s="510">
        <f t="shared" si="21"/>
        <v>0</v>
      </c>
      <c r="Q67" s="510">
        <f t="shared" si="21"/>
        <v>200</v>
      </c>
      <c r="R67" s="510">
        <f t="shared" si="21"/>
        <v>147241084</v>
      </c>
      <c r="S67" s="511">
        <f t="shared" si="10"/>
        <v>608468581</v>
      </c>
      <c r="T67" s="512">
        <f t="shared" si="11"/>
        <v>27.220805816090692</v>
      </c>
      <c r="U67" s="513">
        <f t="shared" si="2"/>
        <v>0</v>
      </c>
    </row>
    <row r="68" spans="1:21" s="413" customFormat="1" ht="30.75" customHeight="1">
      <c r="A68" s="439" t="s">
        <v>574</v>
      </c>
      <c r="B68" s="506" t="s">
        <v>483</v>
      </c>
      <c r="C68" s="481">
        <f aca="true" t="shared" si="22" ref="C68:C75">D68+E68</f>
        <v>211970384</v>
      </c>
      <c r="D68" s="460">
        <f>55813043+2000000-1668092</f>
        <v>56144951</v>
      </c>
      <c r="E68" s="481">
        <f>155824533+900</f>
        <v>155825433</v>
      </c>
      <c r="F68" s="481">
        <v>0</v>
      </c>
      <c r="G68" s="481"/>
      <c r="H68" s="481">
        <f aca="true" t="shared" si="23" ref="H68:H75">I68+R68</f>
        <v>211970384</v>
      </c>
      <c r="I68" s="481">
        <f>SUM(J68:Q68)</f>
        <v>201409699</v>
      </c>
      <c r="J68" s="481">
        <v>17351216</v>
      </c>
      <c r="K68" s="481">
        <v>138834873</v>
      </c>
      <c r="L68" s="481"/>
      <c r="M68" s="481">
        <f>183127175+2599400-1668092-138834873</f>
        <v>45223610</v>
      </c>
      <c r="N68" s="481"/>
      <c r="O68" s="481"/>
      <c r="P68" s="481"/>
      <c r="Q68" s="486"/>
      <c r="R68" s="483">
        <v>10560685</v>
      </c>
      <c r="S68" s="480">
        <f t="shared" si="10"/>
        <v>55784295</v>
      </c>
      <c r="T68" s="507">
        <f t="shared" si="11"/>
        <v>77.54645867377022</v>
      </c>
      <c r="U68" s="432">
        <f t="shared" si="2"/>
        <v>0</v>
      </c>
    </row>
    <row r="69" spans="1:21" s="413" customFormat="1" ht="30.75" customHeight="1">
      <c r="A69" s="439" t="s">
        <v>575</v>
      </c>
      <c r="B69" s="506" t="s">
        <v>484</v>
      </c>
      <c r="C69" s="481">
        <f t="shared" si="22"/>
        <v>71972154</v>
      </c>
      <c r="D69" s="600">
        <f>66220500-254250</f>
        <v>65966250</v>
      </c>
      <c r="E69" s="496">
        <f>6005904</f>
        <v>6005904</v>
      </c>
      <c r="F69" s="481">
        <v>4577730</v>
      </c>
      <c r="G69" s="496">
        <v>0</v>
      </c>
      <c r="H69" s="481">
        <f t="shared" si="23"/>
        <v>67394424</v>
      </c>
      <c r="I69" s="481">
        <f aca="true" t="shared" si="24" ref="I69:I75">SUM(J69:Q69)</f>
        <v>36338049</v>
      </c>
      <c r="J69" s="496">
        <v>311023</v>
      </c>
      <c r="K69" s="496">
        <v>2257634</v>
      </c>
      <c r="L69" s="496">
        <v>0</v>
      </c>
      <c r="M69" s="496">
        <f>33769392-200</f>
        <v>33769192</v>
      </c>
      <c r="N69" s="496">
        <v>0</v>
      </c>
      <c r="O69" s="496">
        <v>0</v>
      </c>
      <c r="P69" s="496">
        <v>0</v>
      </c>
      <c r="Q69" s="497">
        <v>200</v>
      </c>
      <c r="R69" s="498">
        <f>30982037+74338</f>
        <v>31056375</v>
      </c>
      <c r="S69" s="480">
        <f t="shared" si="10"/>
        <v>64825767</v>
      </c>
      <c r="T69" s="507">
        <f t="shared" si="11"/>
        <v>7.068780715222219</v>
      </c>
      <c r="U69" s="432">
        <f t="shared" si="2"/>
        <v>0</v>
      </c>
    </row>
    <row r="70" spans="1:21" s="413" customFormat="1" ht="30.75" customHeight="1">
      <c r="A70" s="439" t="s">
        <v>576</v>
      </c>
      <c r="B70" s="506" t="s">
        <v>542</v>
      </c>
      <c r="C70" s="481">
        <f t="shared" si="22"/>
        <v>64066994</v>
      </c>
      <c r="D70" s="460">
        <v>18253984</v>
      </c>
      <c r="E70" s="481">
        <f>44771637+1034973+1200+5000+200</f>
        <v>45813010</v>
      </c>
      <c r="F70" s="481">
        <f>200+30864000</f>
        <v>30864200</v>
      </c>
      <c r="G70" s="481"/>
      <c r="H70" s="481">
        <f t="shared" si="23"/>
        <v>33202794</v>
      </c>
      <c r="I70" s="481">
        <f t="shared" si="24"/>
        <v>19237599</v>
      </c>
      <c r="J70" s="481">
        <f>164939+2000+612000</f>
        <v>778939</v>
      </c>
      <c r="K70" s="481">
        <f>203200+10000</f>
        <v>213200</v>
      </c>
      <c r="L70" s="481"/>
      <c r="M70" s="481">
        <f>48692087+1022973-605600-30864000</f>
        <v>18245460</v>
      </c>
      <c r="N70" s="481"/>
      <c r="O70" s="481"/>
      <c r="P70" s="481"/>
      <c r="Q70" s="486">
        <v>0</v>
      </c>
      <c r="R70" s="483">
        <v>13965195</v>
      </c>
      <c r="S70" s="480">
        <f t="shared" si="10"/>
        <v>32210655</v>
      </c>
      <c r="T70" s="507">
        <f t="shared" si="11"/>
        <v>5.15729119834549</v>
      </c>
      <c r="U70" s="432">
        <f t="shared" si="2"/>
        <v>0</v>
      </c>
    </row>
    <row r="71" spans="1:21" s="413" customFormat="1" ht="30.75" customHeight="1">
      <c r="A71" s="439" t="s">
        <v>577</v>
      </c>
      <c r="B71" s="506" t="s">
        <v>486</v>
      </c>
      <c r="C71" s="481">
        <f t="shared" si="22"/>
        <v>39689838</v>
      </c>
      <c r="D71" s="460">
        <f>44850213-16371173</f>
        <v>28479040</v>
      </c>
      <c r="E71" s="481">
        <v>11210798</v>
      </c>
      <c r="F71" s="481">
        <v>1500</v>
      </c>
      <c r="G71" s="481"/>
      <c r="H71" s="481">
        <f t="shared" si="23"/>
        <v>39688338</v>
      </c>
      <c r="I71" s="481">
        <f t="shared" si="24"/>
        <v>12971199</v>
      </c>
      <c r="J71" s="481">
        <v>274996</v>
      </c>
      <c r="K71" s="481">
        <v>2806444</v>
      </c>
      <c r="L71" s="481"/>
      <c r="M71" s="481">
        <v>9889759</v>
      </c>
      <c r="N71" s="481"/>
      <c r="O71" s="481"/>
      <c r="P71" s="481"/>
      <c r="Q71" s="486">
        <v>0</v>
      </c>
      <c r="R71" s="483">
        <v>26717139</v>
      </c>
      <c r="S71" s="480">
        <f t="shared" si="10"/>
        <v>36606898</v>
      </c>
      <c r="T71" s="507">
        <f t="shared" si="11"/>
        <v>23.75601515326378</v>
      </c>
      <c r="U71" s="432">
        <f t="shared" si="2"/>
        <v>0</v>
      </c>
    </row>
    <row r="72" spans="1:21" s="413" customFormat="1" ht="30.75" customHeight="1">
      <c r="A72" s="439" t="s">
        <v>578</v>
      </c>
      <c r="B72" s="506" t="s">
        <v>487</v>
      </c>
      <c r="C72" s="481">
        <f t="shared" si="22"/>
        <v>75080197</v>
      </c>
      <c r="D72" s="460">
        <v>73256437</v>
      </c>
      <c r="E72" s="488">
        <f>1801718+21142+900</f>
        <v>1823760</v>
      </c>
      <c r="F72" s="481">
        <v>0</v>
      </c>
      <c r="G72" s="481"/>
      <c r="H72" s="481">
        <f t="shared" si="23"/>
        <v>75080197</v>
      </c>
      <c r="I72" s="481">
        <f t="shared" si="24"/>
        <v>60418257</v>
      </c>
      <c r="J72" s="481">
        <v>2103246</v>
      </c>
      <c r="K72" s="481">
        <v>2831186</v>
      </c>
      <c r="L72" s="481"/>
      <c r="M72" s="481">
        <v>55483825</v>
      </c>
      <c r="N72" s="481"/>
      <c r="O72" s="481"/>
      <c r="P72" s="481"/>
      <c r="Q72" s="486">
        <v>0</v>
      </c>
      <c r="R72" s="483">
        <v>14661940</v>
      </c>
      <c r="S72" s="480">
        <f t="shared" si="10"/>
        <v>70145765</v>
      </c>
      <c r="T72" s="507">
        <f t="shared" si="11"/>
        <v>8.167120742989988</v>
      </c>
      <c r="U72" s="432">
        <f t="shared" si="2"/>
        <v>0</v>
      </c>
    </row>
    <row r="73" spans="1:21" s="413" customFormat="1" ht="30.75" customHeight="1">
      <c r="A73" s="439" t="s">
        <v>579</v>
      </c>
      <c r="B73" s="506" t="s">
        <v>600</v>
      </c>
      <c r="C73" s="481">
        <f t="shared" si="22"/>
        <v>62303301</v>
      </c>
      <c r="D73" s="460">
        <f>11398316+36366726</f>
        <v>47765042</v>
      </c>
      <c r="E73" s="481">
        <f>4890536+9288687+200+2790+200+1400+200+200+400+3500+200+300+3000+1846+200+600+16000+8000+320000</f>
        <v>14538259</v>
      </c>
      <c r="F73" s="481">
        <v>0</v>
      </c>
      <c r="G73" s="481">
        <v>9109528</v>
      </c>
      <c r="H73" s="481">
        <f t="shared" si="23"/>
        <v>62303301</v>
      </c>
      <c r="I73" s="481">
        <f t="shared" si="24"/>
        <v>45385773</v>
      </c>
      <c r="J73" s="481">
        <f>4122701+3624+3000+39522+300+300+300+300</f>
        <v>4170047</v>
      </c>
      <c r="K73" s="481">
        <v>63000</v>
      </c>
      <c r="L73" s="481"/>
      <c r="M73" s="481">
        <f>31548725+9285687+318314</f>
        <v>41152726</v>
      </c>
      <c r="N73" s="481"/>
      <c r="O73" s="481"/>
      <c r="P73" s="481"/>
      <c r="Q73" s="486">
        <v>0</v>
      </c>
      <c r="R73" s="483">
        <v>16917528</v>
      </c>
      <c r="S73" s="480">
        <f t="shared" si="10"/>
        <v>58070254</v>
      </c>
      <c r="T73" s="507">
        <f t="shared" si="11"/>
        <v>9.326814814853986</v>
      </c>
      <c r="U73" s="432">
        <f t="shared" si="2"/>
        <v>0</v>
      </c>
    </row>
    <row r="74" spans="1:21" s="413" customFormat="1" ht="30.75" customHeight="1">
      <c r="A74" s="439" t="s">
        <v>580</v>
      </c>
      <c r="B74" s="506" t="s">
        <v>559</v>
      </c>
      <c r="C74" s="481">
        <f t="shared" si="22"/>
        <v>230787790</v>
      </c>
      <c r="D74" s="460">
        <f>8480051</f>
        <v>8480051</v>
      </c>
      <c r="E74" s="481">
        <v>222307739</v>
      </c>
      <c r="F74" s="481">
        <v>0</v>
      </c>
      <c r="G74" s="481">
        <v>0</v>
      </c>
      <c r="H74" s="481">
        <f t="shared" si="23"/>
        <v>230787790</v>
      </c>
      <c r="I74" s="481">
        <f t="shared" si="24"/>
        <v>222947820</v>
      </c>
      <c r="J74" s="481">
        <v>391416</v>
      </c>
      <c r="K74" s="481">
        <v>0</v>
      </c>
      <c r="L74" s="481">
        <v>0</v>
      </c>
      <c r="M74" s="481">
        <f>222481904+74500</f>
        <v>222556404</v>
      </c>
      <c r="N74" s="481">
        <v>0</v>
      </c>
      <c r="O74" s="481">
        <v>0</v>
      </c>
      <c r="P74" s="481">
        <v>0</v>
      </c>
      <c r="Q74" s="486">
        <v>0</v>
      </c>
      <c r="R74" s="483">
        <v>7839970</v>
      </c>
      <c r="S74" s="480">
        <f t="shared" si="10"/>
        <v>230396374</v>
      </c>
      <c r="T74" s="507">
        <f t="shared" si="11"/>
        <v>0.1755639503449731</v>
      </c>
      <c r="U74" s="432">
        <f t="shared" si="2"/>
        <v>0</v>
      </c>
    </row>
    <row r="75" spans="1:21" s="413" customFormat="1" ht="30.75" customHeight="1">
      <c r="A75" s="439" t="s">
        <v>581</v>
      </c>
      <c r="B75" s="506" t="s">
        <v>601</v>
      </c>
      <c r="C75" s="481">
        <f t="shared" si="22"/>
        <v>60895006</v>
      </c>
      <c r="D75" s="460">
        <v>25939327</v>
      </c>
      <c r="E75" s="481">
        <f>34035612+873677+46390</f>
        <v>34955679</v>
      </c>
      <c r="F75" s="481">
        <v>345778</v>
      </c>
      <c r="G75" s="481">
        <v>0</v>
      </c>
      <c r="H75" s="481">
        <f t="shared" si="23"/>
        <v>60549228</v>
      </c>
      <c r="I75" s="481">
        <f t="shared" si="24"/>
        <v>35026976</v>
      </c>
      <c r="J75" s="481">
        <f>63595+57060</f>
        <v>120655</v>
      </c>
      <c r="K75" s="481">
        <v>0</v>
      </c>
      <c r="L75" s="481">
        <v>0</v>
      </c>
      <c r="M75" s="481">
        <f>34395092+867677-10670-345778</f>
        <v>34906321</v>
      </c>
      <c r="N75" s="481">
        <v>0</v>
      </c>
      <c r="O75" s="481">
        <v>0</v>
      </c>
      <c r="P75" s="481">
        <v>0</v>
      </c>
      <c r="Q75" s="486">
        <v>0</v>
      </c>
      <c r="R75" s="483">
        <v>25522252</v>
      </c>
      <c r="S75" s="480">
        <f t="shared" si="10"/>
        <v>60428573</v>
      </c>
      <c r="T75" s="507">
        <f t="shared" si="11"/>
        <v>0.34446307897090517</v>
      </c>
      <c r="U75" s="432">
        <f t="shared" si="2"/>
        <v>0</v>
      </c>
    </row>
    <row r="76" spans="1:21" s="413" customFormat="1" ht="30.75" customHeight="1">
      <c r="A76" s="508">
        <v>8</v>
      </c>
      <c r="B76" s="517" t="s">
        <v>488</v>
      </c>
      <c r="C76" s="510">
        <f>SUM(C77:C79)</f>
        <v>178351352</v>
      </c>
      <c r="D76" s="593">
        <f aca="true" t="shared" si="25" ref="D76:R76">SUM(D77:D79)</f>
        <v>40111419</v>
      </c>
      <c r="E76" s="510">
        <f t="shared" si="25"/>
        <v>138239933</v>
      </c>
      <c r="F76" s="510">
        <f t="shared" si="25"/>
        <v>3177745</v>
      </c>
      <c r="G76" s="510">
        <f t="shared" si="25"/>
        <v>0</v>
      </c>
      <c r="H76" s="510">
        <f t="shared" si="25"/>
        <v>175173607</v>
      </c>
      <c r="I76" s="510">
        <f t="shared" si="25"/>
        <v>160324845</v>
      </c>
      <c r="J76" s="510">
        <f t="shared" si="25"/>
        <v>4832890</v>
      </c>
      <c r="K76" s="510">
        <f t="shared" si="25"/>
        <v>304660</v>
      </c>
      <c r="L76" s="510">
        <f t="shared" si="25"/>
        <v>0</v>
      </c>
      <c r="M76" s="510">
        <f t="shared" si="25"/>
        <v>155187295</v>
      </c>
      <c r="N76" s="510">
        <f t="shared" si="25"/>
        <v>0</v>
      </c>
      <c r="O76" s="510">
        <f t="shared" si="25"/>
        <v>0</v>
      </c>
      <c r="P76" s="510">
        <f t="shared" si="25"/>
        <v>0</v>
      </c>
      <c r="Q76" s="510">
        <f t="shared" si="25"/>
        <v>0</v>
      </c>
      <c r="R76" s="510">
        <f t="shared" si="25"/>
        <v>14848762</v>
      </c>
      <c r="S76" s="511">
        <f t="shared" si="10"/>
        <v>170036057</v>
      </c>
      <c r="T76" s="512">
        <f t="shared" si="11"/>
        <v>3.2044627892825965</v>
      </c>
      <c r="U76" s="513">
        <f t="shared" si="2"/>
        <v>0</v>
      </c>
    </row>
    <row r="77" spans="1:21" s="413" customFormat="1" ht="30.75" customHeight="1">
      <c r="A77" s="439" t="s">
        <v>489</v>
      </c>
      <c r="B77" s="458" t="s">
        <v>490</v>
      </c>
      <c r="C77" s="499">
        <f>D77+E77</f>
        <v>70115446</v>
      </c>
      <c r="D77" s="601">
        <v>2877896</v>
      </c>
      <c r="E77" s="499">
        <v>67237550</v>
      </c>
      <c r="F77" s="499">
        <v>1600</v>
      </c>
      <c r="G77" s="499"/>
      <c r="H77" s="499">
        <f>I77+R77</f>
        <v>70113846</v>
      </c>
      <c r="I77" s="499">
        <f>J77+K77+L77+M77+N77+O77+P77+Q77</f>
        <v>68539961</v>
      </c>
      <c r="J77" s="499">
        <v>1119098</v>
      </c>
      <c r="K77" s="499">
        <v>294750</v>
      </c>
      <c r="L77" s="499"/>
      <c r="M77" s="499">
        <v>67126113</v>
      </c>
      <c r="N77" s="499"/>
      <c r="O77" s="499"/>
      <c r="P77" s="499"/>
      <c r="Q77" s="499"/>
      <c r="R77" s="499">
        <v>1573885</v>
      </c>
      <c r="S77" s="480">
        <f t="shared" si="10"/>
        <v>68699998</v>
      </c>
      <c r="T77" s="507">
        <f t="shared" si="11"/>
        <v>2.0628082936901584</v>
      </c>
      <c r="U77" s="432">
        <f t="shared" si="2"/>
        <v>0</v>
      </c>
    </row>
    <row r="78" spans="1:21" s="413" customFormat="1" ht="30.75" customHeight="1">
      <c r="A78" s="439" t="s">
        <v>491</v>
      </c>
      <c r="B78" s="458" t="s">
        <v>492</v>
      </c>
      <c r="C78" s="499">
        <f>D78+E78</f>
        <v>45437528</v>
      </c>
      <c r="D78" s="601">
        <v>20591095</v>
      </c>
      <c r="E78" s="499">
        <v>24846433</v>
      </c>
      <c r="F78" s="499">
        <v>665753</v>
      </c>
      <c r="G78" s="499">
        <v>0</v>
      </c>
      <c r="H78" s="499">
        <f>I78+R78</f>
        <v>44771775</v>
      </c>
      <c r="I78" s="499">
        <f>J78+K78+L78+M78+N78+O78+P78+Q78</f>
        <v>36947037</v>
      </c>
      <c r="J78" s="499">
        <v>2616319</v>
      </c>
      <c r="K78" s="499">
        <v>9710</v>
      </c>
      <c r="L78" s="499"/>
      <c r="M78" s="499">
        <v>34321008</v>
      </c>
      <c r="N78" s="499"/>
      <c r="O78" s="499"/>
      <c r="P78" s="499"/>
      <c r="Q78" s="499"/>
      <c r="R78" s="499">
        <v>7824738</v>
      </c>
      <c r="S78" s="480">
        <f t="shared" si="10"/>
        <v>42145746</v>
      </c>
      <c r="T78" s="507">
        <f t="shared" si="11"/>
        <v>7.107549652763765</v>
      </c>
      <c r="U78" s="432">
        <f aca="true" t="shared" si="26" ref="U78:U123">C78-F78-H78</f>
        <v>0</v>
      </c>
    </row>
    <row r="79" spans="1:21" s="413" customFormat="1" ht="30.75" customHeight="1">
      <c r="A79" s="439" t="s">
        <v>543</v>
      </c>
      <c r="B79" s="458" t="s">
        <v>485</v>
      </c>
      <c r="C79" s="499">
        <f>D79+E79</f>
        <v>62798378</v>
      </c>
      <c r="D79" s="601">
        <v>16642428</v>
      </c>
      <c r="E79" s="499">
        <v>46155950</v>
      </c>
      <c r="F79" s="499">
        <v>2510392</v>
      </c>
      <c r="G79" s="499"/>
      <c r="H79" s="499">
        <f>I79+R79</f>
        <v>60287986</v>
      </c>
      <c r="I79" s="499">
        <f>J79+K79+L79+M79+N79+O79+P79+Q79</f>
        <v>54837847</v>
      </c>
      <c r="J79" s="499">
        <v>1097473</v>
      </c>
      <c r="K79" s="499">
        <v>200</v>
      </c>
      <c r="L79" s="499"/>
      <c r="M79" s="499">
        <v>53740174</v>
      </c>
      <c r="N79" s="499"/>
      <c r="O79" s="499"/>
      <c r="P79" s="499"/>
      <c r="Q79" s="499"/>
      <c r="R79" s="499">
        <v>5450139</v>
      </c>
      <c r="S79" s="480">
        <f t="shared" si="10"/>
        <v>59190313</v>
      </c>
      <c r="T79" s="507">
        <f t="shared" si="11"/>
        <v>2.0016704886316927</v>
      </c>
      <c r="U79" s="432">
        <f t="shared" si="26"/>
        <v>0</v>
      </c>
    </row>
    <row r="80" spans="1:21" s="413" customFormat="1" ht="30.75" customHeight="1">
      <c r="A80" s="508">
        <v>9</v>
      </c>
      <c r="B80" s="517" t="s">
        <v>493</v>
      </c>
      <c r="C80" s="514">
        <f>SUM(C81:C83)</f>
        <v>13487647</v>
      </c>
      <c r="D80" s="587">
        <f aca="true" t="shared" si="27" ref="D80:R80">SUM(D81:D83)</f>
        <v>9962981</v>
      </c>
      <c r="E80" s="514">
        <f t="shared" si="27"/>
        <v>3524666</v>
      </c>
      <c r="F80" s="514">
        <f t="shared" si="27"/>
        <v>17040</v>
      </c>
      <c r="G80" s="514">
        <f t="shared" si="27"/>
        <v>0</v>
      </c>
      <c r="H80" s="514">
        <f t="shared" si="27"/>
        <v>13470607</v>
      </c>
      <c r="I80" s="514">
        <f t="shared" si="27"/>
        <v>11161687</v>
      </c>
      <c r="J80" s="514">
        <f t="shared" si="27"/>
        <v>1276230</v>
      </c>
      <c r="K80" s="514">
        <f t="shared" si="27"/>
        <v>1456107</v>
      </c>
      <c r="L80" s="514">
        <f t="shared" si="27"/>
        <v>0</v>
      </c>
      <c r="M80" s="514">
        <f t="shared" si="27"/>
        <v>8429350</v>
      </c>
      <c r="N80" s="514">
        <f t="shared" si="27"/>
        <v>0</v>
      </c>
      <c r="O80" s="514">
        <f t="shared" si="27"/>
        <v>0</v>
      </c>
      <c r="P80" s="514">
        <f t="shared" si="27"/>
        <v>0</v>
      </c>
      <c r="Q80" s="514">
        <f t="shared" si="27"/>
        <v>0</v>
      </c>
      <c r="R80" s="514">
        <f t="shared" si="27"/>
        <v>2308920</v>
      </c>
      <c r="S80" s="511">
        <f t="shared" si="10"/>
        <v>10738270</v>
      </c>
      <c r="T80" s="512">
        <f t="shared" si="11"/>
        <v>24.47960599504358</v>
      </c>
      <c r="U80" s="513">
        <f t="shared" si="26"/>
        <v>0</v>
      </c>
    </row>
    <row r="81" spans="1:21" s="406" customFormat="1" ht="30.75" customHeight="1">
      <c r="A81" s="438" t="s">
        <v>494</v>
      </c>
      <c r="B81" s="446" t="s">
        <v>495</v>
      </c>
      <c r="C81" s="487">
        <f>SUM(D81:E81)</f>
        <v>3208239</v>
      </c>
      <c r="D81" s="602">
        <v>2666893</v>
      </c>
      <c r="E81" s="487">
        <f>8400+28650+21386+222199+158313+31135+71263</f>
        <v>541346</v>
      </c>
      <c r="F81" s="487">
        <f>5000+5940+900+5200</f>
        <v>17040</v>
      </c>
      <c r="G81" s="487">
        <v>0</v>
      </c>
      <c r="H81" s="487">
        <f>I81+R81</f>
        <v>3191199</v>
      </c>
      <c r="I81" s="487">
        <f>SUM(J81:Q81)</f>
        <v>2806721</v>
      </c>
      <c r="J81" s="487">
        <f>7050+5110+675130+23686+25950+72958+26940+77542</f>
        <v>914366</v>
      </c>
      <c r="K81" s="487">
        <f>27853</f>
        <v>27853</v>
      </c>
      <c r="L81" s="487">
        <v>0</v>
      </c>
      <c r="M81" s="487">
        <f>C81-J81-K81-L81-N81-O81-P81-Q81-R81-F81-G81</f>
        <v>1864502</v>
      </c>
      <c r="N81" s="487">
        <v>0</v>
      </c>
      <c r="O81" s="487">
        <v>0</v>
      </c>
      <c r="P81" s="487">
        <v>0</v>
      </c>
      <c r="Q81" s="500">
        <v>0</v>
      </c>
      <c r="R81" s="483">
        <f>438988-21500-33010</f>
        <v>384478</v>
      </c>
      <c r="S81" s="480">
        <f t="shared" si="10"/>
        <v>2248980</v>
      </c>
      <c r="T81" s="507">
        <f t="shared" si="11"/>
        <v>33.570098346077145</v>
      </c>
      <c r="U81" s="432">
        <f t="shared" si="26"/>
        <v>0</v>
      </c>
    </row>
    <row r="82" spans="1:21" s="406" customFormat="1" ht="30.75" customHeight="1">
      <c r="A82" s="438" t="s">
        <v>496</v>
      </c>
      <c r="B82" s="446" t="s">
        <v>497</v>
      </c>
      <c r="C82" s="487">
        <f>SUM(D82:E82)</f>
        <v>6930103</v>
      </c>
      <c r="D82" s="602">
        <v>4516556</v>
      </c>
      <c r="E82" s="487">
        <f>846210-59+155330+1360166+2500+49400</f>
        <v>2413547</v>
      </c>
      <c r="F82" s="487">
        <v>0</v>
      </c>
      <c r="G82" s="487">
        <v>0</v>
      </c>
      <c r="H82" s="487">
        <f>I82+R82</f>
        <v>6930103</v>
      </c>
      <c r="I82" s="487">
        <f>SUM(J82:Q82)</f>
        <v>5812645</v>
      </c>
      <c r="J82" s="487">
        <f>93000+5928+2828+64031</f>
        <v>165787</v>
      </c>
      <c r="K82" s="487">
        <f>10000+1407282</f>
        <v>1417282</v>
      </c>
      <c r="L82" s="487">
        <v>0</v>
      </c>
      <c r="M82" s="487">
        <f>C82-J82-K82-L82-N82-O82-P82-Q82-R82-F82-G82</f>
        <v>4229576</v>
      </c>
      <c r="N82" s="487">
        <v>0</v>
      </c>
      <c r="O82" s="487">
        <v>0</v>
      </c>
      <c r="P82" s="487">
        <v>0</v>
      </c>
      <c r="Q82" s="500">
        <v>0</v>
      </c>
      <c r="R82" s="483">
        <f>390935-52717-3081+700000+37321+45000</f>
        <v>1117458</v>
      </c>
      <c r="S82" s="480">
        <f t="shared" si="10"/>
        <v>5347034</v>
      </c>
      <c r="T82" s="507">
        <f t="shared" si="11"/>
        <v>27.234916290260287</v>
      </c>
      <c r="U82" s="432">
        <f t="shared" si="26"/>
        <v>0</v>
      </c>
    </row>
    <row r="83" spans="1:21" s="406" customFormat="1" ht="30.75" customHeight="1">
      <c r="A83" s="438" t="s">
        <v>498</v>
      </c>
      <c r="B83" s="446" t="s">
        <v>499</v>
      </c>
      <c r="C83" s="487">
        <f>SUM(D83:E83)</f>
        <v>3349305</v>
      </c>
      <c r="D83" s="602">
        <v>2779532</v>
      </c>
      <c r="E83" s="487">
        <f>425014+15200+85930+8816+19597+4360+10856</f>
        <v>569773</v>
      </c>
      <c r="F83" s="487">
        <v>0</v>
      </c>
      <c r="G83" s="487">
        <v>0</v>
      </c>
      <c r="H83" s="487">
        <f>I83+R83</f>
        <v>3349305</v>
      </c>
      <c r="I83" s="487">
        <f>SUM(J83:Q83)</f>
        <v>2542321</v>
      </c>
      <c r="J83" s="487">
        <f>10350+49502+32916+30704+59212+13393</f>
        <v>196077</v>
      </c>
      <c r="K83" s="487">
        <f>10972</f>
        <v>10972</v>
      </c>
      <c r="L83" s="487">
        <v>0</v>
      </c>
      <c r="M83" s="487">
        <f>C83-J83-K83-L83-N83-O83-P83-Q83-R83-F83-G83</f>
        <v>2335272</v>
      </c>
      <c r="N83" s="487">
        <v>0</v>
      </c>
      <c r="O83" s="487">
        <v>0</v>
      </c>
      <c r="P83" s="487">
        <v>0</v>
      </c>
      <c r="Q83" s="500">
        <v>0</v>
      </c>
      <c r="R83" s="483">
        <f>571173-29780+411-37786+57836+33070+2650+56836+152574</f>
        <v>806984</v>
      </c>
      <c r="S83" s="480">
        <f t="shared" si="10"/>
        <v>3142256</v>
      </c>
      <c r="T83" s="507">
        <f t="shared" si="11"/>
        <v>8.144093527135244</v>
      </c>
      <c r="U83" s="432">
        <f t="shared" si="26"/>
        <v>0</v>
      </c>
    </row>
    <row r="84" spans="1:21" s="413" customFormat="1" ht="30.75" customHeight="1">
      <c r="A84" s="508">
        <v>10</v>
      </c>
      <c r="B84" s="517" t="s">
        <v>500</v>
      </c>
      <c r="C84" s="514">
        <f>SUM(C85:C91)</f>
        <v>435556193</v>
      </c>
      <c r="D84" s="587">
        <f aca="true" t="shared" si="28" ref="D84:R84">SUM(D85:D91)</f>
        <v>382562132</v>
      </c>
      <c r="E84" s="514">
        <f t="shared" si="28"/>
        <v>52994061</v>
      </c>
      <c r="F84" s="514">
        <f t="shared" si="28"/>
        <v>9431513</v>
      </c>
      <c r="G84" s="514">
        <f t="shared" si="28"/>
        <v>0</v>
      </c>
      <c r="H84" s="514">
        <f t="shared" si="28"/>
        <v>426124680</v>
      </c>
      <c r="I84" s="514">
        <f t="shared" si="28"/>
        <v>155599027</v>
      </c>
      <c r="J84" s="514">
        <f t="shared" si="28"/>
        <v>12369771</v>
      </c>
      <c r="K84" s="514">
        <f t="shared" si="28"/>
        <v>4538097</v>
      </c>
      <c r="L84" s="514">
        <f t="shared" si="28"/>
        <v>16068</v>
      </c>
      <c r="M84" s="514">
        <f t="shared" si="28"/>
        <v>137623382</v>
      </c>
      <c r="N84" s="514">
        <f t="shared" si="28"/>
        <v>249239</v>
      </c>
      <c r="O84" s="514">
        <f t="shared" si="28"/>
        <v>0</v>
      </c>
      <c r="P84" s="514">
        <f t="shared" si="28"/>
        <v>0</v>
      </c>
      <c r="Q84" s="514">
        <f t="shared" si="28"/>
        <v>802470</v>
      </c>
      <c r="R84" s="514">
        <f t="shared" si="28"/>
        <v>270525653</v>
      </c>
      <c r="S84" s="511">
        <f t="shared" si="10"/>
        <v>409200744</v>
      </c>
      <c r="T84" s="512">
        <f t="shared" si="11"/>
        <v>10.876633566609643</v>
      </c>
      <c r="U84" s="513">
        <f t="shared" si="26"/>
        <v>0</v>
      </c>
    </row>
    <row r="85" spans="1:21" s="413" customFormat="1" ht="30.75" customHeight="1">
      <c r="A85" s="439" t="s">
        <v>525</v>
      </c>
      <c r="B85" s="460" t="s">
        <v>472</v>
      </c>
      <c r="C85" s="501">
        <v>25137193</v>
      </c>
      <c r="D85" s="589">
        <v>5284886</v>
      </c>
      <c r="E85" s="501">
        <v>19852307</v>
      </c>
      <c r="F85" s="501">
        <v>3498029</v>
      </c>
      <c r="G85" s="501">
        <v>0</v>
      </c>
      <c r="H85" s="501">
        <v>21639164</v>
      </c>
      <c r="I85" s="501">
        <v>18218059</v>
      </c>
      <c r="J85" s="501">
        <v>1869206</v>
      </c>
      <c r="K85" s="501">
        <v>0</v>
      </c>
      <c r="L85" s="501">
        <v>0</v>
      </c>
      <c r="M85" s="501">
        <v>16348853</v>
      </c>
      <c r="N85" s="501">
        <v>0</v>
      </c>
      <c r="O85" s="501">
        <v>0</v>
      </c>
      <c r="P85" s="501">
        <v>0</v>
      </c>
      <c r="Q85" s="501">
        <v>0</v>
      </c>
      <c r="R85" s="501">
        <v>3421105</v>
      </c>
      <c r="S85" s="480">
        <f t="shared" si="10"/>
        <v>19769958</v>
      </c>
      <c r="T85" s="507">
        <f t="shared" si="11"/>
        <v>10.260181943641745</v>
      </c>
      <c r="U85" s="432">
        <f t="shared" si="26"/>
        <v>0</v>
      </c>
    </row>
    <row r="86" spans="1:21" s="413" customFormat="1" ht="30.75" customHeight="1">
      <c r="A86" s="439" t="s">
        <v>582</v>
      </c>
      <c r="B86" s="460" t="s">
        <v>554</v>
      </c>
      <c r="C86" s="501">
        <v>239222258</v>
      </c>
      <c r="D86" s="589">
        <v>212210183</v>
      </c>
      <c r="E86" s="501">
        <v>27012075</v>
      </c>
      <c r="F86" s="501">
        <v>7153</v>
      </c>
      <c r="G86" s="501">
        <v>0</v>
      </c>
      <c r="H86" s="501">
        <v>239215105</v>
      </c>
      <c r="I86" s="501">
        <v>66559686</v>
      </c>
      <c r="J86" s="501">
        <v>5055911</v>
      </c>
      <c r="K86" s="501">
        <v>63435</v>
      </c>
      <c r="L86" s="501">
        <v>0</v>
      </c>
      <c r="M86" s="501">
        <v>61338654</v>
      </c>
      <c r="N86" s="501">
        <v>101686</v>
      </c>
      <c r="O86" s="501">
        <v>0</v>
      </c>
      <c r="P86" s="501">
        <v>0</v>
      </c>
      <c r="Q86" s="501">
        <v>0</v>
      </c>
      <c r="R86" s="501">
        <v>172655419</v>
      </c>
      <c r="S86" s="480">
        <f t="shared" si="10"/>
        <v>234095759</v>
      </c>
      <c r="T86" s="507">
        <f t="shared" si="11"/>
        <v>7.69136140455951</v>
      </c>
      <c r="U86" s="432">
        <f t="shared" si="26"/>
        <v>0</v>
      </c>
    </row>
    <row r="87" spans="1:21" s="413" customFormat="1" ht="30.75" customHeight="1">
      <c r="A87" s="439" t="s">
        <v>526</v>
      </c>
      <c r="B87" s="460" t="s">
        <v>501</v>
      </c>
      <c r="C87" s="501">
        <v>8341628</v>
      </c>
      <c r="D87" s="589">
        <v>7666974</v>
      </c>
      <c r="E87" s="501">
        <v>674654</v>
      </c>
      <c r="F87" s="501">
        <v>546442</v>
      </c>
      <c r="G87" s="501">
        <v>0</v>
      </c>
      <c r="H87" s="501">
        <v>7795186</v>
      </c>
      <c r="I87" s="501">
        <v>6145855</v>
      </c>
      <c r="J87" s="501">
        <v>138085</v>
      </c>
      <c r="K87" s="501">
        <v>664987</v>
      </c>
      <c r="L87" s="501">
        <v>0</v>
      </c>
      <c r="M87" s="501">
        <v>5342783</v>
      </c>
      <c r="N87" s="501">
        <v>0</v>
      </c>
      <c r="O87" s="501">
        <v>0</v>
      </c>
      <c r="P87" s="501">
        <v>0</v>
      </c>
      <c r="Q87" s="501">
        <v>0</v>
      </c>
      <c r="R87" s="501">
        <v>1649331</v>
      </c>
      <c r="S87" s="480">
        <f t="shared" si="10"/>
        <v>6992114</v>
      </c>
      <c r="T87" s="507">
        <f t="shared" si="11"/>
        <v>13.066888170970516</v>
      </c>
      <c r="U87" s="432">
        <f t="shared" si="26"/>
        <v>0</v>
      </c>
    </row>
    <row r="88" spans="1:21" s="413" customFormat="1" ht="30.75" customHeight="1">
      <c r="A88" s="439" t="s">
        <v>527</v>
      </c>
      <c r="B88" s="460" t="s">
        <v>545</v>
      </c>
      <c r="C88" s="501">
        <v>32720685</v>
      </c>
      <c r="D88" s="589">
        <v>31357970</v>
      </c>
      <c r="E88" s="501">
        <v>1362715</v>
      </c>
      <c r="F88" s="501">
        <v>0</v>
      </c>
      <c r="G88" s="501">
        <v>0</v>
      </c>
      <c r="H88" s="501">
        <v>32720685</v>
      </c>
      <c r="I88" s="501">
        <v>14486732</v>
      </c>
      <c r="J88" s="501">
        <v>1812090</v>
      </c>
      <c r="K88" s="501">
        <v>1276476</v>
      </c>
      <c r="L88" s="501">
        <v>16068</v>
      </c>
      <c r="M88" s="501">
        <v>10432075</v>
      </c>
      <c r="N88" s="501">
        <v>147553</v>
      </c>
      <c r="O88" s="501">
        <v>0</v>
      </c>
      <c r="P88" s="501">
        <v>0</v>
      </c>
      <c r="Q88" s="501">
        <v>802470</v>
      </c>
      <c r="R88" s="501">
        <v>18233953</v>
      </c>
      <c r="S88" s="480">
        <f t="shared" si="10"/>
        <v>29616051</v>
      </c>
      <c r="T88" s="507">
        <f t="shared" si="11"/>
        <v>21.43087895876033</v>
      </c>
      <c r="U88" s="432">
        <f t="shared" si="26"/>
        <v>0</v>
      </c>
    </row>
    <row r="89" spans="1:21" s="413" customFormat="1" ht="30.75" customHeight="1">
      <c r="A89" s="439" t="s">
        <v>528</v>
      </c>
      <c r="B89" s="460" t="s">
        <v>502</v>
      </c>
      <c r="C89" s="501">
        <v>37419030</v>
      </c>
      <c r="D89" s="589">
        <v>36792039</v>
      </c>
      <c r="E89" s="501">
        <v>626991</v>
      </c>
      <c r="F89" s="501">
        <v>5379889</v>
      </c>
      <c r="G89" s="501">
        <v>0</v>
      </c>
      <c r="H89" s="501">
        <v>32039141</v>
      </c>
      <c r="I89" s="501">
        <v>31240077</v>
      </c>
      <c r="J89" s="501">
        <v>638173</v>
      </c>
      <c r="K89" s="501">
        <v>1343874</v>
      </c>
      <c r="L89" s="501">
        <v>0</v>
      </c>
      <c r="M89" s="501">
        <v>29258030</v>
      </c>
      <c r="N89" s="501">
        <v>0</v>
      </c>
      <c r="O89" s="501">
        <v>0</v>
      </c>
      <c r="P89" s="501">
        <v>0</v>
      </c>
      <c r="Q89" s="501">
        <v>0</v>
      </c>
      <c r="R89" s="501">
        <v>799064</v>
      </c>
      <c r="S89" s="480">
        <f t="shared" si="10"/>
        <v>30057094</v>
      </c>
      <c r="T89" s="507">
        <f t="shared" si="11"/>
        <v>6.344565027800668</v>
      </c>
      <c r="U89" s="432">
        <f t="shared" si="26"/>
        <v>0</v>
      </c>
    </row>
    <row r="90" spans="1:21" s="413" customFormat="1" ht="30.75" customHeight="1">
      <c r="A90" s="439" t="s">
        <v>529</v>
      </c>
      <c r="B90" s="460" t="s">
        <v>504</v>
      </c>
      <c r="C90" s="501">
        <v>83470432</v>
      </c>
      <c r="D90" s="589">
        <v>80404955</v>
      </c>
      <c r="E90" s="501">
        <v>3065477</v>
      </c>
      <c r="F90" s="501">
        <v>0</v>
      </c>
      <c r="G90" s="501">
        <v>0</v>
      </c>
      <c r="H90" s="501">
        <v>83470432</v>
      </c>
      <c r="I90" s="501">
        <v>12436955</v>
      </c>
      <c r="J90" s="501">
        <v>785929</v>
      </c>
      <c r="K90" s="501">
        <v>1189325</v>
      </c>
      <c r="L90" s="501">
        <v>0</v>
      </c>
      <c r="M90" s="501">
        <v>10461701</v>
      </c>
      <c r="N90" s="501">
        <v>0</v>
      </c>
      <c r="O90" s="501">
        <v>0</v>
      </c>
      <c r="P90" s="501">
        <v>0</v>
      </c>
      <c r="Q90" s="501">
        <v>0</v>
      </c>
      <c r="R90" s="501">
        <v>71033477</v>
      </c>
      <c r="S90" s="480">
        <f t="shared" si="10"/>
        <v>81495178</v>
      </c>
      <c r="T90" s="507">
        <f t="shared" si="11"/>
        <v>15.882135136775844</v>
      </c>
      <c r="U90" s="432">
        <f t="shared" si="26"/>
        <v>0</v>
      </c>
    </row>
    <row r="91" spans="1:21" s="413" customFormat="1" ht="30.75" customHeight="1">
      <c r="A91" s="439" t="s">
        <v>503</v>
      </c>
      <c r="B91" s="460" t="s">
        <v>505</v>
      </c>
      <c r="C91" s="501">
        <v>9244967</v>
      </c>
      <c r="D91" s="589">
        <v>8845125</v>
      </c>
      <c r="E91" s="501">
        <v>399842</v>
      </c>
      <c r="F91" s="501">
        <v>0</v>
      </c>
      <c r="G91" s="501">
        <v>0</v>
      </c>
      <c r="H91" s="501">
        <v>9244967</v>
      </c>
      <c r="I91" s="501">
        <v>6511663</v>
      </c>
      <c r="J91" s="501">
        <v>2070377</v>
      </c>
      <c r="K91" s="501">
        <v>0</v>
      </c>
      <c r="L91" s="501">
        <v>0</v>
      </c>
      <c r="M91" s="501">
        <v>4441286</v>
      </c>
      <c r="N91" s="501">
        <v>0</v>
      </c>
      <c r="O91" s="501">
        <v>0</v>
      </c>
      <c r="P91" s="501">
        <v>0</v>
      </c>
      <c r="Q91" s="501">
        <v>0</v>
      </c>
      <c r="R91" s="501">
        <v>2733304</v>
      </c>
      <c r="S91" s="480">
        <f t="shared" si="10"/>
        <v>7174590</v>
      </c>
      <c r="T91" s="507">
        <f t="shared" si="11"/>
        <v>31.794904005320912</v>
      </c>
      <c r="U91" s="432">
        <f t="shared" si="26"/>
        <v>0</v>
      </c>
    </row>
    <row r="92" spans="1:21" s="413" customFormat="1" ht="30.75" customHeight="1">
      <c r="A92" s="508">
        <v>11</v>
      </c>
      <c r="B92" s="517" t="s">
        <v>506</v>
      </c>
      <c r="C92" s="520">
        <f>SUM(C93:C95)</f>
        <v>14621849</v>
      </c>
      <c r="D92" s="603">
        <f aca="true" t="shared" si="29" ref="D92:R92">SUM(D93:D95)</f>
        <v>9423123</v>
      </c>
      <c r="E92" s="520">
        <f t="shared" si="29"/>
        <v>5198726</v>
      </c>
      <c r="F92" s="520">
        <f t="shared" si="29"/>
        <v>400</v>
      </c>
      <c r="G92" s="520">
        <f t="shared" si="29"/>
        <v>0</v>
      </c>
      <c r="H92" s="520">
        <f t="shared" si="29"/>
        <v>14621449</v>
      </c>
      <c r="I92" s="520">
        <f t="shared" si="29"/>
        <v>9501619</v>
      </c>
      <c r="J92" s="520">
        <f t="shared" si="29"/>
        <v>169572</v>
      </c>
      <c r="K92" s="520">
        <f t="shared" si="29"/>
        <v>200</v>
      </c>
      <c r="L92" s="520">
        <f t="shared" si="29"/>
        <v>0</v>
      </c>
      <c r="M92" s="520">
        <f t="shared" si="29"/>
        <v>9092773</v>
      </c>
      <c r="N92" s="520">
        <f t="shared" si="29"/>
        <v>0</v>
      </c>
      <c r="O92" s="520">
        <f t="shared" si="29"/>
        <v>0</v>
      </c>
      <c r="P92" s="520">
        <f t="shared" si="29"/>
        <v>0</v>
      </c>
      <c r="Q92" s="520">
        <f t="shared" si="29"/>
        <v>239074</v>
      </c>
      <c r="R92" s="520">
        <f t="shared" si="29"/>
        <v>5119830</v>
      </c>
      <c r="S92" s="511">
        <f t="shared" si="10"/>
        <v>14451677</v>
      </c>
      <c r="T92" s="512">
        <f t="shared" si="11"/>
        <v>1.786769181125869</v>
      </c>
      <c r="U92" s="513">
        <f t="shared" si="26"/>
        <v>0</v>
      </c>
    </row>
    <row r="93" spans="1:21" s="413" customFormat="1" ht="30.75" customHeight="1">
      <c r="A93" s="439" t="s">
        <v>507</v>
      </c>
      <c r="B93" s="458" t="s">
        <v>508</v>
      </c>
      <c r="C93" s="496">
        <f>D93+E93</f>
        <v>23680</v>
      </c>
      <c r="D93" s="600">
        <v>280</v>
      </c>
      <c r="E93" s="496">
        <v>23400</v>
      </c>
      <c r="F93" s="496">
        <v>400</v>
      </c>
      <c r="G93" s="496">
        <v>0</v>
      </c>
      <c r="H93" s="496">
        <f>I93+R93</f>
        <v>23280</v>
      </c>
      <c r="I93" s="496">
        <f>J93+K93+L93+M93+N93+O93+P93+Q93</f>
        <v>23280</v>
      </c>
      <c r="J93" s="496">
        <v>23000</v>
      </c>
      <c r="K93" s="496">
        <v>0</v>
      </c>
      <c r="L93" s="496">
        <v>0</v>
      </c>
      <c r="M93" s="496">
        <v>280</v>
      </c>
      <c r="N93" s="496">
        <v>0</v>
      </c>
      <c r="O93" s="496">
        <v>0</v>
      </c>
      <c r="P93" s="496">
        <v>0</v>
      </c>
      <c r="Q93" s="497"/>
      <c r="R93" s="498"/>
      <c r="S93" s="480">
        <f t="shared" si="10"/>
        <v>280</v>
      </c>
      <c r="T93" s="507">
        <f t="shared" si="11"/>
        <v>98.79725085910653</v>
      </c>
      <c r="U93" s="432">
        <f t="shared" si="26"/>
        <v>0</v>
      </c>
    </row>
    <row r="94" spans="1:21" s="413" customFormat="1" ht="30.75" customHeight="1">
      <c r="A94" s="439" t="s">
        <v>509</v>
      </c>
      <c r="B94" s="458" t="s">
        <v>510</v>
      </c>
      <c r="C94" s="496">
        <f>D94+E94</f>
        <v>3721312</v>
      </c>
      <c r="D94" s="600">
        <v>3661112</v>
      </c>
      <c r="E94" s="496">
        <v>60200</v>
      </c>
      <c r="F94" s="496">
        <v>0</v>
      </c>
      <c r="G94" s="496">
        <v>0</v>
      </c>
      <c r="H94" s="496">
        <f>I94+R94</f>
        <v>3721312</v>
      </c>
      <c r="I94" s="496">
        <f>J94+K94+L94+M94+N94+O94+P94+Q94</f>
        <v>2629996</v>
      </c>
      <c r="J94" s="496">
        <v>71006</v>
      </c>
      <c r="K94" s="496">
        <v>0</v>
      </c>
      <c r="L94" s="496">
        <v>0</v>
      </c>
      <c r="M94" s="496">
        <v>2504390</v>
      </c>
      <c r="N94" s="496">
        <v>0</v>
      </c>
      <c r="O94" s="496">
        <v>0</v>
      </c>
      <c r="P94" s="496">
        <v>0</v>
      </c>
      <c r="Q94" s="497">
        <v>54600</v>
      </c>
      <c r="R94" s="498">
        <v>1091316</v>
      </c>
      <c r="S94" s="480">
        <f t="shared" si="10"/>
        <v>3650306</v>
      </c>
      <c r="T94" s="507">
        <f t="shared" si="11"/>
        <v>2.699852014984053</v>
      </c>
      <c r="U94" s="432">
        <f t="shared" si="26"/>
        <v>0</v>
      </c>
    </row>
    <row r="95" spans="1:21" s="413" customFormat="1" ht="30.75" customHeight="1">
      <c r="A95" s="439" t="s">
        <v>560</v>
      </c>
      <c r="B95" s="458" t="s">
        <v>561</v>
      </c>
      <c r="C95" s="481">
        <f>D95+E95</f>
        <v>10876857</v>
      </c>
      <c r="D95" s="460">
        <v>5761731</v>
      </c>
      <c r="E95" s="481">
        <v>5115126</v>
      </c>
      <c r="F95" s="481"/>
      <c r="G95" s="481"/>
      <c r="H95" s="481">
        <f>I95+R95</f>
        <v>10876857</v>
      </c>
      <c r="I95" s="481">
        <f>J95+K95+L95+M95+N95+O95+P95+Q95</f>
        <v>6848343</v>
      </c>
      <c r="J95" s="481">
        <v>75566</v>
      </c>
      <c r="K95" s="481">
        <v>200</v>
      </c>
      <c r="L95" s="481"/>
      <c r="M95" s="481">
        <v>6588103</v>
      </c>
      <c r="N95" s="481"/>
      <c r="O95" s="481"/>
      <c r="P95" s="481"/>
      <c r="Q95" s="486">
        <v>184474</v>
      </c>
      <c r="R95" s="483">
        <v>4028514</v>
      </c>
      <c r="S95" s="480">
        <f t="shared" si="10"/>
        <v>10801091</v>
      </c>
      <c r="T95" s="507">
        <f t="shared" si="11"/>
        <v>1.1063406140726304</v>
      </c>
      <c r="U95" s="432">
        <f t="shared" si="26"/>
        <v>0</v>
      </c>
    </row>
    <row r="96" spans="1:21" s="413" customFormat="1" ht="30.75" customHeight="1">
      <c r="A96" s="508">
        <v>12</v>
      </c>
      <c r="B96" s="517" t="s">
        <v>512</v>
      </c>
      <c r="C96" s="520">
        <f>SUM(C97:C98)</f>
        <v>20880655</v>
      </c>
      <c r="D96" s="603">
        <f aca="true" t="shared" si="30" ref="D96:R96">SUM(D97:D98)</f>
        <v>19340047</v>
      </c>
      <c r="E96" s="520">
        <f t="shared" si="30"/>
        <v>1540608</v>
      </c>
      <c r="F96" s="520">
        <f t="shared" si="30"/>
        <v>0</v>
      </c>
      <c r="G96" s="520">
        <f t="shared" si="30"/>
        <v>0</v>
      </c>
      <c r="H96" s="520">
        <f t="shared" si="30"/>
        <v>20880655</v>
      </c>
      <c r="I96" s="520">
        <f t="shared" si="30"/>
        <v>12532286</v>
      </c>
      <c r="J96" s="520">
        <f t="shared" si="30"/>
        <v>1522693</v>
      </c>
      <c r="K96" s="520">
        <f t="shared" si="30"/>
        <v>1461471</v>
      </c>
      <c r="L96" s="520">
        <f t="shared" si="30"/>
        <v>0</v>
      </c>
      <c r="M96" s="520">
        <f t="shared" si="30"/>
        <v>9548122</v>
      </c>
      <c r="N96" s="520">
        <f t="shared" si="30"/>
        <v>0</v>
      </c>
      <c r="O96" s="520">
        <f t="shared" si="30"/>
        <v>0</v>
      </c>
      <c r="P96" s="520">
        <f t="shared" si="30"/>
        <v>0</v>
      </c>
      <c r="Q96" s="520">
        <f t="shared" si="30"/>
        <v>0</v>
      </c>
      <c r="R96" s="520">
        <f t="shared" si="30"/>
        <v>8348369</v>
      </c>
      <c r="S96" s="511">
        <f t="shared" si="10"/>
        <v>17896491</v>
      </c>
      <c r="T96" s="512">
        <f t="shared" si="11"/>
        <v>23.8118089548866</v>
      </c>
      <c r="U96" s="513">
        <f t="shared" si="26"/>
        <v>0</v>
      </c>
    </row>
    <row r="97" spans="1:21" s="413" customFormat="1" ht="30.75" customHeight="1">
      <c r="A97" s="437">
        <v>12.1</v>
      </c>
      <c r="B97" s="458" t="s">
        <v>534</v>
      </c>
      <c r="C97" s="499">
        <f>D97+E97</f>
        <v>8274871</v>
      </c>
      <c r="D97" s="601">
        <v>7911495</v>
      </c>
      <c r="E97" s="499">
        <v>363376</v>
      </c>
      <c r="F97" s="499">
        <v>0</v>
      </c>
      <c r="G97" s="499">
        <v>0</v>
      </c>
      <c r="H97" s="499">
        <f>C97-F97-G97</f>
        <v>8274871</v>
      </c>
      <c r="I97" s="499">
        <f>H97-R97</f>
        <v>2823142</v>
      </c>
      <c r="J97" s="499">
        <v>1317253</v>
      </c>
      <c r="K97" s="499">
        <v>1448885</v>
      </c>
      <c r="L97" s="499"/>
      <c r="M97" s="499">
        <f>I97-J97-K97-N97</f>
        <v>57004</v>
      </c>
      <c r="N97" s="499"/>
      <c r="O97" s="499"/>
      <c r="P97" s="499"/>
      <c r="Q97" s="499"/>
      <c r="R97" s="499">
        <v>5451729</v>
      </c>
      <c r="S97" s="480">
        <f t="shared" si="10"/>
        <v>5508733</v>
      </c>
      <c r="T97" s="507">
        <f t="shared" si="11"/>
        <v>97.98083128655945</v>
      </c>
      <c r="U97" s="432">
        <f t="shared" si="26"/>
        <v>0</v>
      </c>
    </row>
    <row r="98" spans="1:21" s="413" customFormat="1" ht="30.75" customHeight="1">
      <c r="A98" s="437">
        <v>12.2</v>
      </c>
      <c r="B98" s="458" t="s">
        <v>513</v>
      </c>
      <c r="C98" s="499">
        <f>D98+E98</f>
        <v>12605784</v>
      </c>
      <c r="D98" s="601">
        <v>11428552</v>
      </c>
      <c r="E98" s="499">
        <v>1177232</v>
      </c>
      <c r="F98" s="499">
        <v>0</v>
      </c>
      <c r="G98" s="499">
        <v>0</v>
      </c>
      <c r="H98" s="499">
        <f>C98-F98-G98</f>
        <v>12605784</v>
      </c>
      <c r="I98" s="499">
        <f>H98-R98</f>
        <v>9709144</v>
      </c>
      <c r="J98" s="499">
        <v>205440</v>
      </c>
      <c r="K98" s="499">
        <v>12586</v>
      </c>
      <c r="L98" s="499"/>
      <c r="M98" s="499">
        <f>I98-J98-K98-N98</f>
        <v>9491118</v>
      </c>
      <c r="N98" s="499">
        <v>0</v>
      </c>
      <c r="O98" s="499"/>
      <c r="P98" s="499"/>
      <c r="Q98" s="499"/>
      <c r="R98" s="499">
        <v>2896640</v>
      </c>
      <c r="S98" s="480">
        <f aca="true" t="shared" si="31" ref="S98:S123">SUM(M98:R98)</f>
        <v>12387758</v>
      </c>
      <c r="T98" s="507">
        <f aca="true" t="shared" si="32" ref="T98:T123">(J98+K98+L98)/I98*100</f>
        <v>2.2455738631541564</v>
      </c>
      <c r="U98" s="432">
        <f t="shared" si="26"/>
        <v>0</v>
      </c>
    </row>
    <row r="99" spans="1:21" s="413" customFormat="1" ht="30.75" customHeight="1">
      <c r="A99" s="508">
        <v>13</v>
      </c>
      <c r="B99" s="517" t="s">
        <v>514</v>
      </c>
      <c r="C99" s="518">
        <f>SUM(C100:C112)</f>
        <v>779628097</v>
      </c>
      <c r="D99" s="594">
        <f aca="true" t="shared" si="33" ref="D99:R99">SUM(D100:D112)</f>
        <v>489191901</v>
      </c>
      <c r="E99" s="518">
        <f t="shared" si="33"/>
        <v>290436196</v>
      </c>
      <c r="F99" s="518">
        <f t="shared" si="33"/>
        <v>382967</v>
      </c>
      <c r="G99" s="518">
        <f t="shared" si="33"/>
        <v>0</v>
      </c>
      <c r="H99" s="518">
        <f t="shared" si="33"/>
        <v>779245130</v>
      </c>
      <c r="I99" s="518">
        <f t="shared" si="33"/>
        <v>628372783</v>
      </c>
      <c r="J99" s="518">
        <f t="shared" si="33"/>
        <v>25639108</v>
      </c>
      <c r="K99" s="518">
        <f t="shared" si="33"/>
        <v>9173206</v>
      </c>
      <c r="L99" s="518">
        <f t="shared" si="33"/>
        <v>0</v>
      </c>
      <c r="M99" s="518">
        <f t="shared" si="33"/>
        <v>593560469</v>
      </c>
      <c r="N99" s="518">
        <f t="shared" si="33"/>
        <v>0</v>
      </c>
      <c r="O99" s="518">
        <f t="shared" si="33"/>
        <v>0</v>
      </c>
      <c r="P99" s="518">
        <f t="shared" si="33"/>
        <v>0</v>
      </c>
      <c r="Q99" s="518">
        <f t="shared" si="33"/>
        <v>0</v>
      </c>
      <c r="R99" s="518">
        <f t="shared" si="33"/>
        <v>150872347</v>
      </c>
      <c r="S99" s="511">
        <f t="shared" si="31"/>
        <v>744432816</v>
      </c>
      <c r="T99" s="512">
        <f t="shared" si="32"/>
        <v>5.540073494876369</v>
      </c>
      <c r="U99" s="513">
        <f t="shared" si="26"/>
        <v>0</v>
      </c>
    </row>
    <row r="100" spans="1:21" s="406" customFormat="1" ht="30.75" customHeight="1">
      <c r="A100" s="437">
        <v>13.1</v>
      </c>
      <c r="B100" s="461" t="s">
        <v>593</v>
      </c>
      <c r="C100" s="488">
        <f>D100+E100</f>
        <v>60077970</v>
      </c>
      <c r="D100" s="595">
        <v>56466023</v>
      </c>
      <c r="E100" s="488">
        <v>3611947</v>
      </c>
      <c r="F100" s="488">
        <v>7330</v>
      </c>
      <c r="G100" s="488">
        <v>0</v>
      </c>
      <c r="H100" s="488">
        <f>I100+R100</f>
        <v>60070640</v>
      </c>
      <c r="I100" s="488">
        <f>J100+K100+L100+M100+N100+O100+P100+Q100</f>
        <v>7406756</v>
      </c>
      <c r="J100" s="488">
        <v>1909523</v>
      </c>
      <c r="K100" s="488">
        <v>3000</v>
      </c>
      <c r="L100" s="488">
        <v>0</v>
      </c>
      <c r="M100" s="488">
        <v>5494233</v>
      </c>
      <c r="N100" s="488">
        <v>0</v>
      </c>
      <c r="O100" s="488">
        <v>0</v>
      </c>
      <c r="P100" s="488">
        <v>0</v>
      </c>
      <c r="Q100" s="488">
        <v>0</v>
      </c>
      <c r="R100" s="489">
        <v>52663884</v>
      </c>
      <c r="S100" s="480">
        <f t="shared" si="31"/>
        <v>58158117</v>
      </c>
      <c r="T100" s="507">
        <f t="shared" si="32"/>
        <v>25.82133122786818</v>
      </c>
      <c r="U100" s="432">
        <f t="shared" si="26"/>
        <v>0</v>
      </c>
    </row>
    <row r="101" spans="1:21" s="406" customFormat="1" ht="30.75" customHeight="1">
      <c r="A101" s="437">
        <v>13.2</v>
      </c>
      <c r="B101" s="461" t="s">
        <v>515</v>
      </c>
      <c r="C101" s="488">
        <f aca="true" t="shared" si="34" ref="C101:C112">D101+E101</f>
        <v>55946371</v>
      </c>
      <c r="D101" s="595">
        <v>29682305</v>
      </c>
      <c r="E101" s="488">
        <v>26264066</v>
      </c>
      <c r="F101" s="488">
        <v>375637</v>
      </c>
      <c r="G101" s="488">
        <v>0</v>
      </c>
      <c r="H101" s="488">
        <f aca="true" t="shared" si="35" ref="H101:H112">I101+R101</f>
        <v>55570734</v>
      </c>
      <c r="I101" s="488">
        <f aca="true" t="shared" si="36" ref="I101:I112">J101+K101+L101+M101+N101+O101+P101+Q101</f>
        <v>52108169</v>
      </c>
      <c r="J101" s="488">
        <v>2442988</v>
      </c>
      <c r="K101" s="488">
        <v>1001545</v>
      </c>
      <c r="L101" s="488">
        <v>0</v>
      </c>
      <c r="M101" s="488">
        <v>48663636</v>
      </c>
      <c r="N101" s="488">
        <v>0</v>
      </c>
      <c r="O101" s="488">
        <v>0</v>
      </c>
      <c r="P101" s="488">
        <v>0</v>
      </c>
      <c r="Q101" s="488">
        <v>0</v>
      </c>
      <c r="R101" s="489">
        <v>3462565</v>
      </c>
      <c r="S101" s="480">
        <f t="shared" si="31"/>
        <v>52126201</v>
      </c>
      <c r="T101" s="507">
        <f t="shared" si="32"/>
        <v>6.610351248381035</v>
      </c>
      <c r="U101" s="432">
        <f t="shared" si="26"/>
        <v>0</v>
      </c>
    </row>
    <row r="102" spans="1:21" s="406" customFormat="1" ht="30.75" customHeight="1">
      <c r="A102" s="437">
        <v>13.3</v>
      </c>
      <c r="B102" s="461" t="s">
        <v>594</v>
      </c>
      <c r="C102" s="488">
        <f t="shared" si="34"/>
        <v>123061477</v>
      </c>
      <c r="D102" s="595">
        <v>107930417</v>
      </c>
      <c r="E102" s="488">
        <v>15131060</v>
      </c>
      <c r="F102" s="488"/>
      <c r="G102" s="488">
        <v>0</v>
      </c>
      <c r="H102" s="488">
        <f t="shared" si="35"/>
        <v>123061477</v>
      </c>
      <c r="I102" s="488">
        <f t="shared" si="36"/>
        <v>94726746</v>
      </c>
      <c r="J102" s="488">
        <v>6030615</v>
      </c>
      <c r="K102" s="488">
        <v>3000</v>
      </c>
      <c r="L102" s="488">
        <v>0</v>
      </c>
      <c r="M102" s="488">
        <v>88693131</v>
      </c>
      <c r="N102" s="488">
        <v>0</v>
      </c>
      <c r="O102" s="488"/>
      <c r="P102" s="488"/>
      <c r="Q102" s="488">
        <v>0</v>
      </c>
      <c r="R102" s="489">
        <v>28334731</v>
      </c>
      <c r="S102" s="480">
        <f t="shared" si="31"/>
        <v>117027862</v>
      </c>
      <c r="T102" s="507">
        <f t="shared" si="32"/>
        <v>6.369494630376092</v>
      </c>
      <c r="U102" s="432">
        <f t="shared" si="26"/>
        <v>0</v>
      </c>
    </row>
    <row r="103" spans="1:21" s="406" customFormat="1" ht="30.75" customHeight="1">
      <c r="A103" s="437">
        <v>13.4</v>
      </c>
      <c r="B103" s="462" t="s">
        <v>595</v>
      </c>
      <c r="C103" s="488">
        <f>D103+E103</f>
        <v>62425763</v>
      </c>
      <c r="D103" s="595">
        <v>57861183</v>
      </c>
      <c r="E103" s="488">
        <v>4564580</v>
      </c>
      <c r="F103" s="488">
        <v>0</v>
      </c>
      <c r="G103" s="488">
        <v>0</v>
      </c>
      <c r="H103" s="488">
        <f t="shared" si="35"/>
        <v>62425763</v>
      </c>
      <c r="I103" s="488">
        <f t="shared" si="36"/>
        <v>56948778</v>
      </c>
      <c r="J103" s="488">
        <v>3878276</v>
      </c>
      <c r="K103" s="488">
        <v>2720413</v>
      </c>
      <c r="L103" s="488">
        <v>0</v>
      </c>
      <c r="M103" s="488">
        <v>50350089</v>
      </c>
      <c r="N103" s="488">
        <v>0</v>
      </c>
      <c r="O103" s="488">
        <v>0</v>
      </c>
      <c r="P103" s="488">
        <v>0</v>
      </c>
      <c r="Q103" s="488">
        <v>0</v>
      </c>
      <c r="R103" s="489">
        <v>5476985</v>
      </c>
      <c r="S103" s="480">
        <f t="shared" si="31"/>
        <v>55827074</v>
      </c>
      <c r="T103" s="507">
        <f t="shared" si="32"/>
        <v>11.587059866324086</v>
      </c>
      <c r="U103" s="432">
        <f t="shared" si="26"/>
        <v>0</v>
      </c>
    </row>
    <row r="104" spans="1:21" s="406" customFormat="1" ht="30.75" customHeight="1">
      <c r="A104" s="437">
        <v>13.5</v>
      </c>
      <c r="B104" s="463" t="s">
        <v>546</v>
      </c>
      <c r="C104" s="488">
        <f t="shared" si="34"/>
        <v>37478571</v>
      </c>
      <c r="D104" s="595">
        <v>37292491</v>
      </c>
      <c r="E104" s="488">
        <v>186080</v>
      </c>
      <c r="F104" s="488"/>
      <c r="G104" s="488"/>
      <c r="H104" s="488">
        <f t="shared" si="35"/>
        <v>37478571</v>
      </c>
      <c r="I104" s="488">
        <f>J104+K104+L104+M104+N104+O104+P104+Q104</f>
        <v>36559942</v>
      </c>
      <c r="J104" s="488">
        <v>94586</v>
      </c>
      <c r="K104" s="488">
        <v>4950</v>
      </c>
      <c r="L104" s="488">
        <v>0</v>
      </c>
      <c r="M104" s="488">
        <v>36460406</v>
      </c>
      <c r="N104" s="488">
        <v>0</v>
      </c>
      <c r="O104" s="488"/>
      <c r="P104" s="488">
        <v>0</v>
      </c>
      <c r="Q104" s="488">
        <v>0</v>
      </c>
      <c r="R104" s="489">
        <v>918629</v>
      </c>
      <c r="S104" s="480">
        <f t="shared" si="31"/>
        <v>37379035</v>
      </c>
      <c r="T104" s="507">
        <f t="shared" si="32"/>
        <v>0.27225426123487834</v>
      </c>
      <c r="U104" s="432">
        <f t="shared" si="26"/>
        <v>0</v>
      </c>
    </row>
    <row r="105" spans="1:21" s="406" customFormat="1" ht="30.75" customHeight="1">
      <c r="A105" s="437">
        <v>13.6</v>
      </c>
      <c r="B105" s="463" t="s">
        <v>596</v>
      </c>
      <c r="C105" s="488">
        <f t="shared" si="34"/>
        <v>46081118</v>
      </c>
      <c r="D105" s="595">
        <v>43577748</v>
      </c>
      <c r="E105" s="488">
        <v>2503370</v>
      </c>
      <c r="F105" s="488">
        <v>0</v>
      </c>
      <c r="G105" s="488">
        <v>0</v>
      </c>
      <c r="H105" s="488">
        <f t="shared" si="35"/>
        <v>46081118</v>
      </c>
      <c r="I105" s="488">
        <f t="shared" si="36"/>
        <v>33429700</v>
      </c>
      <c r="J105" s="488">
        <v>2459749</v>
      </c>
      <c r="K105" s="488">
        <v>1308905</v>
      </c>
      <c r="L105" s="488">
        <v>0</v>
      </c>
      <c r="M105" s="488">
        <v>29661046</v>
      </c>
      <c r="N105" s="488">
        <v>0</v>
      </c>
      <c r="O105" s="488"/>
      <c r="P105" s="488">
        <v>0</v>
      </c>
      <c r="Q105" s="488">
        <v>0</v>
      </c>
      <c r="R105" s="489">
        <v>12651418</v>
      </c>
      <c r="S105" s="480">
        <f t="shared" si="31"/>
        <v>42312464</v>
      </c>
      <c r="T105" s="507">
        <f t="shared" si="32"/>
        <v>11.273370685348658</v>
      </c>
      <c r="U105" s="432">
        <f t="shared" si="26"/>
        <v>0</v>
      </c>
    </row>
    <row r="106" spans="1:21" s="406" customFormat="1" ht="30.75" customHeight="1">
      <c r="A106" s="437">
        <v>13.7</v>
      </c>
      <c r="B106" s="463" t="s">
        <v>597</v>
      </c>
      <c r="C106" s="488">
        <f t="shared" si="34"/>
        <v>35949551</v>
      </c>
      <c r="D106" s="595">
        <v>19903005</v>
      </c>
      <c r="E106" s="488">
        <v>16046546</v>
      </c>
      <c r="F106" s="488">
        <v>0</v>
      </c>
      <c r="G106" s="488">
        <v>0</v>
      </c>
      <c r="H106" s="488">
        <f t="shared" si="35"/>
        <v>35949551</v>
      </c>
      <c r="I106" s="488">
        <f t="shared" si="36"/>
        <v>33521263</v>
      </c>
      <c r="J106" s="488">
        <v>1525217</v>
      </c>
      <c r="K106" s="488">
        <v>1248274</v>
      </c>
      <c r="L106" s="488">
        <v>0</v>
      </c>
      <c r="M106" s="488">
        <v>30747772</v>
      </c>
      <c r="N106" s="488">
        <v>0</v>
      </c>
      <c r="O106" s="488">
        <v>0</v>
      </c>
      <c r="P106" s="488">
        <v>0</v>
      </c>
      <c r="Q106" s="488">
        <v>0</v>
      </c>
      <c r="R106" s="489">
        <v>2428288</v>
      </c>
      <c r="S106" s="480">
        <f t="shared" si="31"/>
        <v>33176060</v>
      </c>
      <c r="T106" s="507">
        <f t="shared" si="32"/>
        <v>8.273826078689218</v>
      </c>
      <c r="U106" s="432">
        <f t="shared" si="26"/>
        <v>0</v>
      </c>
    </row>
    <row r="107" spans="1:21" s="406" customFormat="1" ht="30.75" customHeight="1">
      <c r="A107" s="437">
        <v>13.8</v>
      </c>
      <c r="B107" s="461" t="s">
        <v>547</v>
      </c>
      <c r="C107" s="488">
        <f t="shared" si="34"/>
        <v>29957746</v>
      </c>
      <c r="D107" s="595">
        <v>14119271</v>
      </c>
      <c r="E107" s="488">
        <v>15838475</v>
      </c>
      <c r="F107" s="488"/>
      <c r="G107" s="488">
        <v>0</v>
      </c>
      <c r="H107" s="488">
        <f t="shared" si="35"/>
        <v>29957746</v>
      </c>
      <c r="I107" s="488">
        <f t="shared" si="36"/>
        <v>26533015</v>
      </c>
      <c r="J107" s="488">
        <v>901175</v>
      </c>
      <c r="K107" s="488">
        <v>1046886</v>
      </c>
      <c r="L107" s="488">
        <v>0</v>
      </c>
      <c r="M107" s="488">
        <v>24584954</v>
      </c>
      <c r="N107" s="488">
        <v>0</v>
      </c>
      <c r="O107" s="488">
        <v>0</v>
      </c>
      <c r="P107" s="488">
        <v>0</v>
      </c>
      <c r="Q107" s="488">
        <v>0</v>
      </c>
      <c r="R107" s="489">
        <v>3424731</v>
      </c>
      <c r="S107" s="480">
        <f t="shared" si="31"/>
        <v>28009685</v>
      </c>
      <c r="T107" s="507">
        <f t="shared" si="32"/>
        <v>7.342026528082089</v>
      </c>
      <c r="U107" s="432">
        <f t="shared" si="26"/>
        <v>0</v>
      </c>
    </row>
    <row r="108" spans="1:21" s="406" customFormat="1" ht="30.75" customHeight="1">
      <c r="A108" s="437">
        <v>13.9</v>
      </c>
      <c r="B108" s="464" t="s">
        <v>598</v>
      </c>
      <c r="C108" s="488">
        <f t="shared" si="34"/>
        <v>61934270</v>
      </c>
      <c r="D108" s="595">
        <v>55697204</v>
      </c>
      <c r="E108" s="488">
        <v>6237066</v>
      </c>
      <c r="F108" s="488">
        <v>0</v>
      </c>
      <c r="G108" s="488">
        <v>0</v>
      </c>
      <c r="H108" s="488">
        <f>I108+R108</f>
        <v>61934270</v>
      </c>
      <c r="I108" s="488">
        <f t="shared" si="36"/>
        <v>42344755</v>
      </c>
      <c r="J108" s="488">
        <v>4784875</v>
      </c>
      <c r="K108" s="488">
        <v>1436499</v>
      </c>
      <c r="L108" s="488">
        <v>0</v>
      </c>
      <c r="M108" s="488">
        <v>36123381</v>
      </c>
      <c r="N108" s="488">
        <v>0</v>
      </c>
      <c r="O108" s="488">
        <v>0</v>
      </c>
      <c r="P108" s="488">
        <v>0</v>
      </c>
      <c r="Q108" s="488">
        <v>0</v>
      </c>
      <c r="R108" s="489">
        <v>19589515</v>
      </c>
      <c r="S108" s="480">
        <f t="shared" si="31"/>
        <v>55712896</v>
      </c>
      <c r="T108" s="507">
        <f t="shared" si="32"/>
        <v>14.692195054617743</v>
      </c>
      <c r="U108" s="432">
        <f t="shared" si="26"/>
        <v>0</v>
      </c>
    </row>
    <row r="109" spans="1:21" s="406" customFormat="1" ht="30.75" customHeight="1">
      <c r="A109" s="437" t="s">
        <v>562</v>
      </c>
      <c r="B109" s="461" t="s">
        <v>462</v>
      </c>
      <c r="C109" s="488">
        <f t="shared" si="34"/>
        <v>33665162</v>
      </c>
      <c r="D109" s="595">
        <v>30115131</v>
      </c>
      <c r="E109" s="488">
        <v>3550031</v>
      </c>
      <c r="F109" s="488">
        <v>0</v>
      </c>
      <c r="G109" s="488">
        <v>0</v>
      </c>
      <c r="H109" s="488">
        <f t="shared" si="35"/>
        <v>33665162</v>
      </c>
      <c r="I109" s="488">
        <f t="shared" si="36"/>
        <v>20230613</v>
      </c>
      <c r="J109" s="488">
        <v>995394</v>
      </c>
      <c r="K109" s="488">
        <v>0</v>
      </c>
      <c r="L109" s="488">
        <v>0</v>
      </c>
      <c r="M109" s="488">
        <v>19235219</v>
      </c>
      <c r="N109" s="488">
        <v>0</v>
      </c>
      <c r="O109" s="488">
        <v>0</v>
      </c>
      <c r="P109" s="488">
        <v>0</v>
      </c>
      <c r="Q109" s="488">
        <v>0</v>
      </c>
      <c r="R109" s="489">
        <v>13434549</v>
      </c>
      <c r="S109" s="480">
        <f t="shared" si="31"/>
        <v>32669768</v>
      </c>
      <c r="T109" s="507">
        <f t="shared" si="32"/>
        <v>4.920236475286241</v>
      </c>
      <c r="U109" s="432">
        <f t="shared" si="26"/>
        <v>0</v>
      </c>
    </row>
    <row r="110" spans="1:21" s="406" customFormat="1" ht="30.75" customHeight="1">
      <c r="A110" s="437" t="s">
        <v>548</v>
      </c>
      <c r="B110" s="461" t="s">
        <v>599</v>
      </c>
      <c r="C110" s="488">
        <f t="shared" si="34"/>
        <v>32058835</v>
      </c>
      <c r="D110" s="595">
        <v>3941815</v>
      </c>
      <c r="E110" s="488">
        <v>28117020</v>
      </c>
      <c r="F110" s="488">
        <v>0</v>
      </c>
      <c r="G110" s="488">
        <v>0</v>
      </c>
      <c r="H110" s="488">
        <f t="shared" si="35"/>
        <v>32058835</v>
      </c>
      <c r="I110" s="488">
        <f t="shared" si="36"/>
        <v>30997696</v>
      </c>
      <c r="J110" s="488">
        <v>445086</v>
      </c>
      <c r="K110" s="488">
        <v>98900</v>
      </c>
      <c r="L110" s="488">
        <v>0</v>
      </c>
      <c r="M110" s="488">
        <v>30453710</v>
      </c>
      <c r="N110" s="488">
        <v>0</v>
      </c>
      <c r="O110" s="488">
        <v>0</v>
      </c>
      <c r="P110" s="488">
        <v>0</v>
      </c>
      <c r="Q110" s="488">
        <v>0</v>
      </c>
      <c r="R110" s="489">
        <v>1061139</v>
      </c>
      <c r="S110" s="480">
        <f t="shared" si="31"/>
        <v>31514849</v>
      </c>
      <c r="T110" s="507">
        <f t="shared" si="32"/>
        <v>1.7549239788660422</v>
      </c>
      <c r="U110" s="432">
        <f t="shared" si="26"/>
        <v>0</v>
      </c>
    </row>
    <row r="111" spans="1:21" s="406" customFormat="1" ht="30.75" customHeight="1">
      <c r="A111" s="437" t="s">
        <v>552</v>
      </c>
      <c r="B111" s="461" t="s">
        <v>563</v>
      </c>
      <c r="C111" s="488">
        <f t="shared" si="34"/>
        <v>162208971</v>
      </c>
      <c r="D111" s="595">
        <v>3803371</v>
      </c>
      <c r="E111" s="488">
        <v>158405600</v>
      </c>
      <c r="F111" s="488">
        <v>0</v>
      </c>
      <c r="G111" s="488">
        <v>0</v>
      </c>
      <c r="H111" s="488">
        <f t="shared" si="35"/>
        <v>162208971</v>
      </c>
      <c r="I111" s="488">
        <f t="shared" si="36"/>
        <v>160544770</v>
      </c>
      <c r="J111" s="488">
        <v>126299</v>
      </c>
      <c r="K111" s="488">
        <v>300833</v>
      </c>
      <c r="L111" s="488">
        <v>0</v>
      </c>
      <c r="M111" s="488">
        <v>160117638</v>
      </c>
      <c r="N111" s="488">
        <v>0</v>
      </c>
      <c r="O111" s="488">
        <v>0</v>
      </c>
      <c r="P111" s="488">
        <v>0</v>
      </c>
      <c r="Q111" s="488">
        <v>0</v>
      </c>
      <c r="R111" s="489">
        <v>1664201</v>
      </c>
      <c r="S111" s="480">
        <f t="shared" si="31"/>
        <v>161781839</v>
      </c>
      <c r="T111" s="507">
        <f t="shared" si="32"/>
        <v>0.2660516440367382</v>
      </c>
      <c r="U111" s="432">
        <f t="shared" si="26"/>
        <v>0</v>
      </c>
    </row>
    <row r="112" spans="1:21" s="406" customFormat="1" ht="30.75" customHeight="1">
      <c r="A112" s="437" t="s">
        <v>564</v>
      </c>
      <c r="B112" s="461" t="s">
        <v>565</v>
      </c>
      <c r="C112" s="488">
        <f t="shared" si="34"/>
        <v>38782292</v>
      </c>
      <c r="D112" s="595">
        <v>28801937</v>
      </c>
      <c r="E112" s="488">
        <f>9980355</f>
        <v>9980355</v>
      </c>
      <c r="F112" s="488">
        <v>0</v>
      </c>
      <c r="G112" s="488">
        <v>0</v>
      </c>
      <c r="H112" s="488">
        <f t="shared" si="35"/>
        <v>38782292</v>
      </c>
      <c r="I112" s="488">
        <f t="shared" si="36"/>
        <v>33020580</v>
      </c>
      <c r="J112" s="488">
        <f>45325</f>
        <v>45325</v>
      </c>
      <c r="K112" s="488">
        <v>1</v>
      </c>
      <c r="L112" s="488">
        <v>0</v>
      </c>
      <c r="M112" s="488">
        <v>32975254</v>
      </c>
      <c r="N112" s="488">
        <v>0</v>
      </c>
      <c r="O112" s="488">
        <v>0</v>
      </c>
      <c r="P112" s="488">
        <v>0</v>
      </c>
      <c r="Q112" s="488">
        <v>0</v>
      </c>
      <c r="R112" s="489">
        <v>5761712</v>
      </c>
      <c r="S112" s="480">
        <f t="shared" si="31"/>
        <v>38736966</v>
      </c>
      <c r="T112" s="507">
        <f t="shared" si="32"/>
        <v>0.13726591113784192</v>
      </c>
      <c r="U112" s="432">
        <f t="shared" si="26"/>
        <v>0</v>
      </c>
    </row>
    <row r="113" spans="1:21" s="413" customFormat="1" ht="30.75" customHeight="1">
      <c r="A113" s="508">
        <v>14</v>
      </c>
      <c r="B113" s="517" t="s">
        <v>516</v>
      </c>
      <c r="C113" s="520">
        <f>SUM(C114:C118)</f>
        <v>20921016</v>
      </c>
      <c r="D113" s="603">
        <f aca="true" t="shared" si="37" ref="D113:R113">SUM(D114:D118)</f>
        <v>14654948</v>
      </c>
      <c r="E113" s="520">
        <f t="shared" si="37"/>
        <v>6266068</v>
      </c>
      <c r="F113" s="520">
        <f t="shared" si="37"/>
        <v>16000</v>
      </c>
      <c r="G113" s="520">
        <f t="shared" si="37"/>
        <v>0</v>
      </c>
      <c r="H113" s="520">
        <f t="shared" si="37"/>
        <v>20905016</v>
      </c>
      <c r="I113" s="520">
        <f t="shared" si="37"/>
        <v>13996966</v>
      </c>
      <c r="J113" s="520">
        <f t="shared" si="37"/>
        <v>1270890</v>
      </c>
      <c r="K113" s="520">
        <f t="shared" si="37"/>
        <v>861024</v>
      </c>
      <c r="L113" s="520">
        <f t="shared" si="37"/>
        <v>0</v>
      </c>
      <c r="M113" s="520">
        <f t="shared" si="37"/>
        <v>11865052</v>
      </c>
      <c r="N113" s="520">
        <f t="shared" si="37"/>
        <v>0</v>
      </c>
      <c r="O113" s="520">
        <f t="shared" si="37"/>
        <v>0</v>
      </c>
      <c r="P113" s="520">
        <f t="shared" si="37"/>
        <v>0</v>
      </c>
      <c r="Q113" s="520">
        <f t="shared" si="37"/>
        <v>0</v>
      </c>
      <c r="R113" s="520">
        <f t="shared" si="37"/>
        <v>6908050</v>
      </c>
      <c r="S113" s="511">
        <f t="shared" si="31"/>
        <v>18773102</v>
      </c>
      <c r="T113" s="512">
        <f t="shared" si="32"/>
        <v>15.23125797404952</v>
      </c>
      <c r="U113" s="513">
        <f t="shared" si="26"/>
        <v>0</v>
      </c>
    </row>
    <row r="114" spans="1:21" s="413" customFormat="1" ht="30.75" customHeight="1">
      <c r="A114" s="439" t="s">
        <v>517</v>
      </c>
      <c r="B114" s="458" t="s">
        <v>518</v>
      </c>
      <c r="C114" s="481">
        <f>D114+E114</f>
        <v>548408</v>
      </c>
      <c r="D114" s="460">
        <v>195695</v>
      </c>
      <c r="E114" s="481">
        <v>352713</v>
      </c>
      <c r="F114" s="481">
        <v>16000</v>
      </c>
      <c r="G114" s="481">
        <v>0</v>
      </c>
      <c r="H114" s="481">
        <f>I114+R114</f>
        <v>532408</v>
      </c>
      <c r="I114" s="481">
        <f>SUM(J114,K114,L114,M114,N114,O114,P114,Q114)</f>
        <v>532408</v>
      </c>
      <c r="J114" s="481">
        <v>270508</v>
      </c>
      <c r="K114" s="481">
        <v>17500</v>
      </c>
      <c r="L114" s="481">
        <v>0</v>
      </c>
      <c r="M114" s="481">
        <v>244400</v>
      </c>
      <c r="N114" s="481">
        <v>0</v>
      </c>
      <c r="O114" s="486">
        <v>0</v>
      </c>
      <c r="P114" s="486">
        <v>0</v>
      </c>
      <c r="Q114" s="486">
        <v>0</v>
      </c>
      <c r="R114" s="483">
        <v>0</v>
      </c>
      <c r="S114" s="480">
        <f t="shared" si="31"/>
        <v>244400</v>
      </c>
      <c r="T114" s="507">
        <f t="shared" si="32"/>
        <v>54.09535544169134</v>
      </c>
      <c r="U114" s="432">
        <f t="shared" si="26"/>
        <v>0</v>
      </c>
    </row>
    <row r="115" spans="1:21" s="413" customFormat="1" ht="30.75" customHeight="1">
      <c r="A115" s="439" t="s">
        <v>519</v>
      </c>
      <c r="B115" s="458" t="s">
        <v>520</v>
      </c>
      <c r="C115" s="481">
        <f>D115+E115</f>
        <v>7913149</v>
      </c>
      <c r="D115" s="460">
        <v>5851828</v>
      </c>
      <c r="E115" s="481">
        <v>2061321</v>
      </c>
      <c r="F115" s="481">
        <v>0</v>
      </c>
      <c r="G115" s="481">
        <v>0</v>
      </c>
      <c r="H115" s="481">
        <f>SUM(I115,R115)</f>
        <v>7913149</v>
      </c>
      <c r="I115" s="481">
        <f>SUM(J115,K115,L115,M115,N115,O115,P115,Q115)</f>
        <v>7052363</v>
      </c>
      <c r="J115" s="481">
        <v>319959</v>
      </c>
      <c r="K115" s="481">
        <v>831582</v>
      </c>
      <c r="L115" s="481">
        <v>0</v>
      </c>
      <c r="M115" s="481">
        <v>5900822</v>
      </c>
      <c r="N115" s="481">
        <v>0</v>
      </c>
      <c r="O115" s="486">
        <v>0</v>
      </c>
      <c r="P115" s="486">
        <v>0</v>
      </c>
      <c r="Q115" s="486">
        <v>0</v>
      </c>
      <c r="R115" s="483">
        <v>860786</v>
      </c>
      <c r="S115" s="480">
        <f t="shared" si="31"/>
        <v>6761608</v>
      </c>
      <c r="T115" s="507">
        <f t="shared" si="32"/>
        <v>16.328441970443098</v>
      </c>
      <c r="U115" s="432">
        <f t="shared" si="26"/>
        <v>0</v>
      </c>
    </row>
    <row r="116" spans="1:21" s="413" customFormat="1" ht="30.75" customHeight="1">
      <c r="A116" s="439" t="s">
        <v>567</v>
      </c>
      <c r="B116" s="458" t="s">
        <v>568</v>
      </c>
      <c r="C116" s="481">
        <f>D116+E116</f>
        <v>1888472</v>
      </c>
      <c r="D116" s="460">
        <v>620099</v>
      </c>
      <c r="E116" s="481">
        <v>1268373</v>
      </c>
      <c r="F116" s="481">
        <v>0</v>
      </c>
      <c r="G116" s="481">
        <v>0</v>
      </c>
      <c r="H116" s="481">
        <f>SUM(I116,R116)</f>
        <v>1888472</v>
      </c>
      <c r="I116" s="481">
        <f>SUM(J116,K116,L116,M116,N116,O116,P116,Q116)</f>
        <v>1738568</v>
      </c>
      <c r="J116" s="481">
        <v>106017</v>
      </c>
      <c r="K116" s="481">
        <v>11942</v>
      </c>
      <c r="L116" s="481">
        <v>0</v>
      </c>
      <c r="M116" s="481">
        <v>1620609</v>
      </c>
      <c r="N116" s="481">
        <v>0</v>
      </c>
      <c r="O116" s="486">
        <v>0</v>
      </c>
      <c r="P116" s="486">
        <v>0</v>
      </c>
      <c r="Q116" s="486">
        <v>0</v>
      </c>
      <c r="R116" s="483">
        <v>149904</v>
      </c>
      <c r="S116" s="480">
        <f t="shared" si="31"/>
        <v>1770513</v>
      </c>
      <c r="T116" s="507">
        <f t="shared" si="32"/>
        <v>6.784836716194017</v>
      </c>
      <c r="U116" s="432">
        <f t="shared" si="26"/>
        <v>0</v>
      </c>
    </row>
    <row r="117" spans="1:21" s="413" customFormat="1" ht="30.75" customHeight="1">
      <c r="A117" s="439" t="s">
        <v>570</v>
      </c>
      <c r="B117" s="458" t="s">
        <v>571</v>
      </c>
      <c r="C117" s="481">
        <f>D117+E117</f>
        <v>3317938</v>
      </c>
      <c r="D117" s="460">
        <v>2227673</v>
      </c>
      <c r="E117" s="481">
        <v>1090265</v>
      </c>
      <c r="F117" s="481">
        <v>0</v>
      </c>
      <c r="G117" s="481">
        <v>0</v>
      </c>
      <c r="H117" s="481">
        <f>SUM(I117,R117)</f>
        <v>3317938</v>
      </c>
      <c r="I117" s="481">
        <f>SUM(J117,K117,L117,M117,N117,O117,P117,Q117)</f>
        <v>2926164</v>
      </c>
      <c r="J117" s="481">
        <v>552301</v>
      </c>
      <c r="K117" s="481">
        <v>0</v>
      </c>
      <c r="L117" s="481">
        <v>0</v>
      </c>
      <c r="M117" s="481">
        <v>2373863</v>
      </c>
      <c r="N117" s="481">
        <v>0</v>
      </c>
      <c r="O117" s="486">
        <v>0</v>
      </c>
      <c r="P117" s="486">
        <v>0</v>
      </c>
      <c r="Q117" s="486">
        <v>0</v>
      </c>
      <c r="R117" s="483">
        <v>391774</v>
      </c>
      <c r="S117" s="480">
        <f t="shared" si="31"/>
        <v>2765637</v>
      </c>
      <c r="T117" s="507">
        <f t="shared" si="32"/>
        <v>18.87457435741811</v>
      </c>
      <c r="U117" s="432">
        <f t="shared" si="26"/>
        <v>0</v>
      </c>
    </row>
    <row r="118" spans="1:21" s="413" customFormat="1" ht="30.75" customHeight="1">
      <c r="A118" s="439" t="s">
        <v>587</v>
      </c>
      <c r="B118" s="458" t="s">
        <v>588</v>
      </c>
      <c r="C118" s="481">
        <f>D118+E118</f>
        <v>7253049</v>
      </c>
      <c r="D118" s="460">
        <v>5759653</v>
      </c>
      <c r="E118" s="481">
        <v>1493396</v>
      </c>
      <c r="F118" s="481">
        <v>0</v>
      </c>
      <c r="G118" s="481">
        <v>0</v>
      </c>
      <c r="H118" s="481">
        <f>SUM(I118,R118)</f>
        <v>7253049</v>
      </c>
      <c r="I118" s="481">
        <f>SUM(J118,K118,L118,M118,N118,O118,P118,Q118)</f>
        <v>1747463</v>
      </c>
      <c r="J118" s="481">
        <v>22105</v>
      </c>
      <c r="K118" s="481">
        <v>0</v>
      </c>
      <c r="L118" s="481">
        <v>0</v>
      </c>
      <c r="M118" s="481">
        <v>1725358</v>
      </c>
      <c r="N118" s="481">
        <v>0</v>
      </c>
      <c r="O118" s="486">
        <v>0</v>
      </c>
      <c r="P118" s="486">
        <v>0</v>
      </c>
      <c r="Q118" s="486">
        <v>0</v>
      </c>
      <c r="R118" s="483">
        <v>5505586</v>
      </c>
      <c r="S118" s="480">
        <f t="shared" si="31"/>
        <v>7230944</v>
      </c>
      <c r="T118" s="507">
        <f t="shared" si="32"/>
        <v>1.2649767119532715</v>
      </c>
      <c r="U118" s="432">
        <f t="shared" si="26"/>
        <v>0</v>
      </c>
    </row>
    <row r="119" spans="1:21" s="413" customFormat="1" ht="30.75" customHeight="1">
      <c r="A119" s="508">
        <v>15</v>
      </c>
      <c r="B119" s="517" t="s">
        <v>521</v>
      </c>
      <c r="C119" s="510">
        <f>SUM(C120:C123)</f>
        <v>50436980</v>
      </c>
      <c r="D119" s="593">
        <f aca="true" t="shared" si="38" ref="D119:R119">SUM(D120:D123)</f>
        <v>41245744</v>
      </c>
      <c r="E119" s="510">
        <f t="shared" si="38"/>
        <v>9191236</v>
      </c>
      <c r="F119" s="510">
        <f t="shared" si="38"/>
        <v>1000</v>
      </c>
      <c r="G119" s="510">
        <f t="shared" si="38"/>
        <v>0</v>
      </c>
      <c r="H119" s="510">
        <f t="shared" si="38"/>
        <v>50435980</v>
      </c>
      <c r="I119" s="510">
        <f t="shared" si="38"/>
        <v>30354739</v>
      </c>
      <c r="J119" s="510">
        <f t="shared" si="38"/>
        <v>5094301</v>
      </c>
      <c r="K119" s="510">
        <f t="shared" si="38"/>
        <v>2368649</v>
      </c>
      <c r="L119" s="510">
        <f t="shared" si="38"/>
        <v>0</v>
      </c>
      <c r="M119" s="510">
        <f t="shared" si="38"/>
        <v>22891789</v>
      </c>
      <c r="N119" s="510">
        <f t="shared" si="38"/>
        <v>0</v>
      </c>
      <c r="O119" s="510">
        <f t="shared" si="38"/>
        <v>0</v>
      </c>
      <c r="P119" s="510">
        <f t="shared" si="38"/>
        <v>0</v>
      </c>
      <c r="Q119" s="510">
        <f t="shared" si="38"/>
        <v>0</v>
      </c>
      <c r="R119" s="510">
        <f t="shared" si="38"/>
        <v>20081241</v>
      </c>
      <c r="S119" s="511">
        <f t="shared" si="31"/>
        <v>42973030</v>
      </c>
      <c r="T119" s="512">
        <f t="shared" si="32"/>
        <v>24.585782140969815</v>
      </c>
      <c r="U119" s="513">
        <f t="shared" si="26"/>
        <v>0</v>
      </c>
    </row>
    <row r="120" spans="1:21" s="413" customFormat="1" ht="30.75" customHeight="1">
      <c r="A120" s="437">
        <v>15.1</v>
      </c>
      <c r="B120" s="446" t="s">
        <v>522</v>
      </c>
      <c r="C120" s="481">
        <f>D120+E120</f>
        <v>16342032</v>
      </c>
      <c r="D120" s="460">
        <v>11084876</v>
      </c>
      <c r="E120" s="481">
        <v>5257156</v>
      </c>
      <c r="F120" s="481">
        <v>400</v>
      </c>
      <c r="G120" s="481">
        <v>0</v>
      </c>
      <c r="H120" s="481">
        <f>C120-F120</f>
        <v>16341632</v>
      </c>
      <c r="I120" s="481">
        <f>H120-R120</f>
        <v>15765880</v>
      </c>
      <c r="J120" s="481">
        <v>4545507</v>
      </c>
      <c r="K120" s="481">
        <v>1908518</v>
      </c>
      <c r="L120" s="481">
        <v>0</v>
      </c>
      <c r="M120" s="481">
        <f>I120-J120-K120-L120-N120-O120-P120-Q120</f>
        <v>9311855</v>
      </c>
      <c r="N120" s="481">
        <v>0</v>
      </c>
      <c r="O120" s="481">
        <v>0</v>
      </c>
      <c r="P120" s="481">
        <v>0</v>
      </c>
      <c r="Q120" s="486">
        <v>0</v>
      </c>
      <c r="R120" s="484">
        <v>575752</v>
      </c>
      <c r="S120" s="480">
        <f t="shared" si="31"/>
        <v>9887607</v>
      </c>
      <c r="T120" s="507">
        <f t="shared" si="32"/>
        <v>40.93666195607223</v>
      </c>
      <c r="U120" s="432">
        <f t="shared" si="26"/>
        <v>0</v>
      </c>
    </row>
    <row r="121" spans="1:21" s="413" customFormat="1" ht="30.75" customHeight="1">
      <c r="A121" s="437">
        <v>15.2</v>
      </c>
      <c r="B121" s="446" t="s">
        <v>549</v>
      </c>
      <c r="C121" s="481">
        <f>D121+E121</f>
        <v>12849930</v>
      </c>
      <c r="D121" s="460">
        <v>9472045</v>
      </c>
      <c r="E121" s="481">
        <v>3377885</v>
      </c>
      <c r="F121" s="481">
        <v>0</v>
      </c>
      <c r="G121" s="481">
        <v>0</v>
      </c>
      <c r="H121" s="481">
        <f>C121-F121</f>
        <v>12849930</v>
      </c>
      <c r="I121" s="481">
        <f>H121-R121</f>
        <v>11821769</v>
      </c>
      <c r="J121" s="481">
        <v>310165</v>
      </c>
      <c r="K121" s="481">
        <v>0</v>
      </c>
      <c r="L121" s="481">
        <v>0</v>
      </c>
      <c r="M121" s="481">
        <f>I121-J121-K121-L121-N121-O121-P121-Q121</f>
        <v>11511604</v>
      </c>
      <c r="N121" s="481">
        <v>0</v>
      </c>
      <c r="O121" s="481">
        <v>0</v>
      </c>
      <c r="P121" s="481">
        <v>0</v>
      </c>
      <c r="Q121" s="486">
        <v>0</v>
      </c>
      <c r="R121" s="484">
        <v>1028161</v>
      </c>
      <c r="S121" s="480">
        <f t="shared" si="31"/>
        <v>12539765</v>
      </c>
      <c r="T121" s="507">
        <f t="shared" si="32"/>
        <v>2.6236767103129828</v>
      </c>
      <c r="U121" s="432">
        <f t="shared" si="26"/>
        <v>0</v>
      </c>
    </row>
    <row r="122" spans="1:21" s="413" customFormat="1" ht="30.75" customHeight="1">
      <c r="A122" s="437">
        <v>15.3</v>
      </c>
      <c r="B122" s="446" t="s">
        <v>550</v>
      </c>
      <c r="C122" s="481">
        <f>D122+E122</f>
        <v>18728684</v>
      </c>
      <c r="D122" s="460">
        <v>18295870</v>
      </c>
      <c r="E122" s="481">
        <v>432814</v>
      </c>
      <c r="F122" s="481">
        <v>0</v>
      </c>
      <c r="G122" s="481">
        <v>0</v>
      </c>
      <c r="H122" s="481">
        <f>C122-F122</f>
        <v>18728684</v>
      </c>
      <c r="I122" s="481">
        <f>H122-R122</f>
        <v>1267819</v>
      </c>
      <c r="J122" s="481">
        <v>131991</v>
      </c>
      <c r="K122" s="481">
        <v>460131</v>
      </c>
      <c r="L122" s="481">
        <v>0</v>
      </c>
      <c r="M122" s="481">
        <f>I122-J122-K122-L122-N122-O122-P122-Q122</f>
        <v>675697</v>
      </c>
      <c r="N122" s="481">
        <v>0</v>
      </c>
      <c r="O122" s="481">
        <v>0</v>
      </c>
      <c r="P122" s="481">
        <v>0</v>
      </c>
      <c r="Q122" s="486">
        <v>0</v>
      </c>
      <c r="R122" s="484">
        <v>17460865</v>
      </c>
      <c r="S122" s="480">
        <f t="shared" si="31"/>
        <v>18136562</v>
      </c>
      <c r="T122" s="507">
        <f t="shared" si="32"/>
        <v>46.70398534806625</v>
      </c>
      <c r="U122" s="432">
        <f t="shared" si="26"/>
        <v>0</v>
      </c>
    </row>
    <row r="123" spans="1:21" s="449" customFormat="1" ht="30.75" customHeight="1">
      <c r="A123" s="437">
        <v>15.4</v>
      </c>
      <c r="B123" s="446" t="s">
        <v>551</v>
      </c>
      <c r="C123" s="481">
        <f>D123+E123</f>
        <v>2516334</v>
      </c>
      <c r="D123" s="460">
        <v>2392953</v>
      </c>
      <c r="E123" s="481">
        <v>123381</v>
      </c>
      <c r="F123" s="481">
        <v>600</v>
      </c>
      <c r="G123" s="481">
        <v>0</v>
      </c>
      <c r="H123" s="481">
        <f>C123-F123</f>
        <v>2515734</v>
      </c>
      <c r="I123" s="481">
        <f>H123-R123</f>
        <v>1499271</v>
      </c>
      <c r="J123" s="481">
        <v>106638</v>
      </c>
      <c r="K123" s="481">
        <v>0</v>
      </c>
      <c r="L123" s="481">
        <v>0</v>
      </c>
      <c r="M123" s="481">
        <f>I123-J123-K123-L123-N123-O123-P123-Q123</f>
        <v>1392633</v>
      </c>
      <c r="N123" s="481">
        <v>0</v>
      </c>
      <c r="O123" s="481">
        <v>0</v>
      </c>
      <c r="P123" s="481">
        <v>0</v>
      </c>
      <c r="Q123" s="486">
        <v>0</v>
      </c>
      <c r="R123" s="484">
        <v>1016463</v>
      </c>
      <c r="S123" s="480">
        <f t="shared" si="31"/>
        <v>2409096</v>
      </c>
      <c r="T123" s="507">
        <f t="shared" si="32"/>
        <v>7.112656751181073</v>
      </c>
      <c r="U123" s="432">
        <f t="shared" si="26"/>
        <v>0</v>
      </c>
    </row>
    <row r="124" spans="1:21" s="397" customFormat="1" ht="19.5" customHeight="1">
      <c r="A124" s="946"/>
      <c r="B124" s="946"/>
      <c r="C124" s="946"/>
      <c r="D124" s="946"/>
      <c r="E124" s="946"/>
      <c r="F124" s="470"/>
      <c r="G124" s="471"/>
      <c r="H124" s="471"/>
      <c r="I124" s="471"/>
      <c r="J124" s="471"/>
      <c r="K124" s="471"/>
      <c r="L124" s="471"/>
      <c r="M124" s="471"/>
      <c r="N124" s="471"/>
      <c r="O124" s="930" t="s">
        <v>620</v>
      </c>
      <c r="P124" s="930"/>
      <c r="Q124" s="930"/>
      <c r="R124" s="930"/>
      <c r="S124" s="930"/>
      <c r="T124" s="930"/>
      <c r="U124" s="433"/>
    </row>
    <row r="125" spans="1:21" ht="18.75">
      <c r="A125" s="472"/>
      <c r="B125" s="923" t="s">
        <v>4</v>
      </c>
      <c r="C125" s="923"/>
      <c r="D125" s="923"/>
      <c r="E125" s="923"/>
      <c r="F125" s="473"/>
      <c r="G125" s="473"/>
      <c r="H125" s="473"/>
      <c r="I125" s="473"/>
      <c r="J125" s="473"/>
      <c r="K125" s="473"/>
      <c r="L125" s="473"/>
      <c r="M125" s="473"/>
      <c r="N125" s="473"/>
      <c r="O125" s="930" t="str">
        <f>'[8]Thong tin'!B7</f>
        <v>
PHÓ CỤC TRƯỞNG</v>
      </c>
      <c r="P125" s="930"/>
      <c r="Q125" s="930"/>
      <c r="R125" s="930"/>
      <c r="S125" s="930"/>
      <c r="T125" s="930"/>
      <c r="U125" s="432"/>
    </row>
    <row r="126" spans="1:21" ht="18.75">
      <c r="A126" s="474"/>
      <c r="B126" s="475"/>
      <c r="C126" s="476"/>
      <c r="D126" s="604"/>
      <c r="E126" s="476"/>
      <c r="F126" s="476"/>
      <c r="G126" s="476"/>
      <c r="H126" s="476"/>
      <c r="I126" s="476"/>
      <c r="J126" s="476"/>
      <c r="K126" s="476"/>
      <c r="L126" s="476"/>
      <c r="M126" s="476"/>
      <c r="N126" s="476"/>
      <c r="O126" s="476"/>
      <c r="P126" s="476"/>
      <c r="Q126" s="476"/>
      <c r="R126" s="476"/>
      <c r="S126" s="476"/>
      <c r="T126" s="477"/>
      <c r="U126" s="432"/>
    </row>
    <row r="127" spans="1:21" ht="18.75">
      <c r="A127" s="474"/>
      <c r="B127" s="941"/>
      <c r="C127" s="941"/>
      <c r="D127" s="941"/>
      <c r="E127" s="476"/>
      <c r="F127" s="476"/>
      <c r="G127" s="476"/>
      <c r="H127" s="476"/>
      <c r="I127" s="476"/>
      <c r="J127" s="476"/>
      <c r="K127" s="476"/>
      <c r="L127" s="476"/>
      <c r="M127" s="476"/>
      <c r="N127" s="476"/>
      <c r="O127" s="476"/>
      <c r="P127" s="476"/>
      <c r="Q127" s="963"/>
      <c r="R127" s="963"/>
      <c r="S127" s="963"/>
      <c r="T127" s="477"/>
      <c r="U127" s="432"/>
    </row>
    <row r="128" spans="1:21" ht="15.75" customHeight="1">
      <c r="A128" s="474"/>
      <c r="B128" s="475"/>
      <c r="C128" s="476"/>
      <c r="D128" s="604"/>
      <c r="E128" s="476"/>
      <c r="F128" s="476"/>
      <c r="G128" s="476"/>
      <c r="H128" s="476"/>
      <c r="I128" s="476"/>
      <c r="J128" s="476"/>
      <c r="K128" s="476"/>
      <c r="L128" s="476"/>
      <c r="M128" s="476"/>
      <c r="N128" s="476"/>
      <c r="O128" s="476"/>
      <c r="P128" s="476"/>
      <c r="Q128" s="476"/>
      <c r="R128" s="476"/>
      <c r="S128" s="476"/>
      <c r="T128" s="477"/>
      <c r="U128" s="432"/>
    </row>
    <row r="129" spans="1:21" ht="15.75" customHeight="1">
      <c r="A129" s="474"/>
      <c r="B129" s="941"/>
      <c r="C129" s="941"/>
      <c r="D129" s="941"/>
      <c r="E129" s="941"/>
      <c r="F129" s="941"/>
      <c r="G129" s="941"/>
      <c r="H129" s="941"/>
      <c r="I129" s="941"/>
      <c r="J129" s="941"/>
      <c r="K129" s="941"/>
      <c r="L129" s="941"/>
      <c r="M129" s="941"/>
      <c r="N129" s="941"/>
      <c r="O129" s="941"/>
      <c r="P129" s="941"/>
      <c r="Q129" s="476"/>
      <c r="R129" s="476"/>
      <c r="S129" s="476"/>
      <c r="T129" s="477"/>
      <c r="U129" s="432"/>
    </row>
    <row r="130" spans="1:21" ht="18.75">
      <c r="A130" s="478"/>
      <c r="B130" s="475"/>
      <c r="C130" s="479"/>
      <c r="D130" s="605"/>
      <c r="E130" s="479"/>
      <c r="F130" s="479"/>
      <c r="G130" s="479"/>
      <c r="H130" s="479"/>
      <c r="I130" s="479"/>
      <c r="J130" s="479"/>
      <c r="K130" s="479"/>
      <c r="L130" s="479"/>
      <c r="M130" s="479"/>
      <c r="N130" s="479"/>
      <c r="O130" s="479"/>
      <c r="P130" s="479"/>
      <c r="Q130" s="479"/>
      <c r="R130" s="476"/>
      <c r="S130" s="476"/>
      <c r="T130" s="477"/>
      <c r="U130" s="432"/>
    </row>
    <row r="131" spans="1:21" ht="18.75">
      <c r="A131" s="474"/>
      <c r="B131" s="941" t="str">
        <f>'Thong tin'!B5</f>
        <v>Trần Thị Minh</v>
      </c>
      <c r="C131" s="941"/>
      <c r="D131" s="941"/>
      <c r="E131" s="941"/>
      <c r="F131" s="476"/>
      <c r="G131" s="476"/>
      <c r="H131" s="476"/>
      <c r="I131" s="476"/>
      <c r="J131" s="476"/>
      <c r="K131" s="476"/>
      <c r="L131" s="476"/>
      <c r="M131" s="476"/>
      <c r="N131" s="476"/>
      <c r="O131" s="941" t="str">
        <f>'Thong tin'!B6</f>
        <v>Nguyễn Thị Mai Hoa</v>
      </c>
      <c r="P131" s="941"/>
      <c r="Q131" s="941"/>
      <c r="R131" s="941"/>
      <c r="S131" s="941"/>
      <c r="T131" s="941"/>
      <c r="U131" s="432"/>
    </row>
    <row r="132" spans="1:21" ht="18.75">
      <c r="A132" s="454"/>
      <c r="B132" s="944"/>
      <c r="C132" s="944"/>
      <c r="D132" s="944"/>
      <c r="E132" s="944"/>
      <c r="F132" s="440"/>
      <c r="G132" s="440"/>
      <c r="H132" s="440"/>
      <c r="I132" s="440"/>
      <c r="J132" s="440"/>
      <c r="K132" s="440"/>
      <c r="L132" s="440"/>
      <c r="M132" s="440"/>
      <c r="N132" s="440"/>
      <c r="O132" s="440"/>
      <c r="P132" s="944"/>
      <c r="Q132" s="944"/>
      <c r="R132" s="944"/>
      <c r="S132" s="944"/>
      <c r="T132" s="945"/>
      <c r="U132" s="432"/>
    </row>
    <row r="133" spans="1:21" ht="15.75">
      <c r="A133" s="457"/>
      <c r="B133" s="429"/>
      <c r="C133" s="441"/>
      <c r="D133" s="586"/>
      <c r="E133" s="441"/>
      <c r="F133" s="441"/>
      <c r="G133" s="441"/>
      <c r="H133" s="441"/>
      <c r="I133" s="441"/>
      <c r="J133" s="441"/>
      <c r="K133" s="441"/>
      <c r="L133" s="441"/>
      <c r="M133" s="441"/>
      <c r="N133" s="441"/>
      <c r="O133" s="441"/>
      <c r="P133" s="441"/>
      <c r="Q133" s="441"/>
      <c r="R133" s="441"/>
      <c r="S133" s="441"/>
      <c r="T133" s="442"/>
      <c r="U133" s="432"/>
    </row>
    <row r="134" spans="1:21" ht="15.75">
      <c r="A134" s="457"/>
      <c r="B134" s="429"/>
      <c r="C134" s="441"/>
      <c r="D134" s="586"/>
      <c r="E134" s="441"/>
      <c r="F134" s="441"/>
      <c r="G134" s="441"/>
      <c r="H134" s="441"/>
      <c r="I134" s="441"/>
      <c r="J134" s="441"/>
      <c r="K134" s="441"/>
      <c r="L134" s="441"/>
      <c r="M134" s="441"/>
      <c r="N134" s="441"/>
      <c r="O134" s="441"/>
      <c r="P134" s="441"/>
      <c r="Q134" s="441"/>
      <c r="R134" s="441"/>
      <c r="S134" s="441"/>
      <c r="T134" s="442"/>
      <c r="U134" s="432"/>
    </row>
    <row r="135" spans="1:21" ht="15.75">
      <c r="A135" s="457"/>
      <c r="B135" s="429"/>
      <c r="C135" s="441"/>
      <c r="D135" s="586"/>
      <c r="E135" s="441"/>
      <c r="F135" s="441"/>
      <c r="G135" s="441"/>
      <c r="H135" s="441"/>
      <c r="I135" s="441"/>
      <c r="J135" s="441"/>
      <c r="K135" s="441"/>
      <c r="L135" s="441"/>
      <c r="M135" s="441"/>
      <c r="N135" s="441"/>
      <c r="O135" s="441"/>
      <c r="P135" s="441"/>
      <c r="Q135" s="441"/>
      <c r="R135" s="441"/>
      <c r="S135" s="441"/>
      <c r="T135" s="442"/>
      <c r="U135" s="432"/>
    </row>
    <row r="136" spans="1:21" ht="15.75">
      <c r="A136" s="457"/>
      <c r="B136" s="429"/>
      <c r="C136" s="441"/>
      <c r="D136" s="586"/>
      <c r="E136" s="441"/>
      <c r="F136" s="441"/>
      <c r="G136" s="441"/>
      <c r="H136" s="441"/>
      <c r="I136" s="441"/>
      <c r="J136" s="441"/>
      <c r="K136" s="441"/>
      <c r="L136" s="441"/>
      <c r="M136" s="441"/>
      <c r="N136" s="441"/>
      <c r="O136" s="441"/>
      <c r="P136" s="441"/>
      <c r="Q136" s="441"/>
      <c r="R136" s="441"/>
      <c r="S136" s="441"/>
      <c r="T136" s="442"/>
      <c r="U136" s="432"/>
    </row>
    <row r="137" spans="1:21" ht="15.75">
      <c r="A137" s="457"/>
      <c r="B137" s="429"/>
      <c r="C137" s="441"/>
      <c r="D137" s="586"/>
      <c r="E137" s="441"/>
      <c r="F137" s="441"/>
      <c r="G137" s="441"/>
      <c r="H137" s="441"/>
      <c r="I137" s="441"/>
      <c r="J137" s="441"/>
      <c r="K137" s="441"/>
      <c r="L137" s="441"/>
      <c r="M137" s="441"/>
      <c r="N137" s="441"/>
      <c r="O137" s="441"/>
      <c r="P137" s="441"/>
      <c r="Q137" s="441"/>
      <c r="R137" s="441"/>
      <c r="S137" s="441"/>
      <c r="T137" s="442"/>
      <c r="U137" s="432"/>
    </row>
    <row r="138" spans="1:21" ht="15.75">
      <c r="A138" s="457"/>
      <c r="B138" s="429"/>
      <c r="C138" s="441"/>
      <c r="D138" s="586"/>
      <c r="E138" s="441"/>
      <c r="F138" s="441"/>
      <c r="G138" s="441"/>
      <c r="H138" s="441"/>
      <c r="I138" s="441"/>
      <c r="J138" s="441"/>
      <c r="K138" s="441"/>
      <c r="L138" s="441"/>
      <c r="M138" s="441"/>
      <c r="N138" s="441"/>
      <c r="O138" s="441"/>
      <c r="P138" s="441"/>
      <c r="Q138" s="441"/>
      <c r="R138" s="441"/>
      <c r="S138" s="441"/>
      <c r="T138" s="442"/>
      <c r="U138" s="432"/>
    </row>
    <row r="139" spans="1:21" ht="15.75">
      <c r="A139" s="457"/>
      <c r="B139" s="429"/>
      <c r="C139" s="441"/>
      <c r="D139" s="586"/>
      <c r="E139" s="441"/>
      <c r="F139" s="441"/>
      <c r="G139" s="441"/>
      <c r="H139" s="441"/>
      <c r="I139" s="441"/>
      <c r="J139" s="441"/>
      <c r="K139" s="441"/>
      <c r="L139" s="441"/>
      <c r="M139" s="441"/>
      <c r="N139" s="441"/>
      <c r="O139" s="441"/>
      <c r="P139" s="441"/>
      <c r="Q139" s="441"/>
      <c r="R139" s="441"/>
      <c r="S139" s="441"/>
      <c r="T139" s="442"/>
      <c r="U139" s="432"/>
    </row>
    <row r="140" spans="1:21" ht="15.75">
      <c r="A140" s="457"/>
      <c r="B140" s="429"/>
      <c r="C140" s="441"/>
      <c r="D140" s="586"/>
      <c r="E140" s="441"/>
      <c r="F140" s="441"/>
      <c r="G140" s="441"/>
      <c r="H140" s="441"/>
      <c r="I140" s="441"/>
      <c r="J140" s="441"/>
      <c r="K140" s="441"/>
      <c r="L140" s="441"/>
      <c r="M140" s="441"/>
      <c r="N140" s="441"/>
      <c r="O140" s="441"/>
      <c r="P140" s="441"/>
      <c r="Q140" s="441"/>
      <c r="R140" s="441"/>
      <c r="S140" s="441"/>
      <c r="T140" s="442"/>
      <c r="U140" s="432"/>
    </row>
    <row r="141" spans="1:21" ht="15.75">
      <c r="A141" s="457"/>
      <c r="B141" s="429"/>
      <c r="C141" s="441"/>
      <c r="D141" s="586"/>
      <c r="E141" s="441"/>
      <c r="F141" s="441"/>
      <c r="G141" s="441"/>
      <c r="H141" s="441"/>
      <c r="I141" s="441"/>
      <c r="J141" s="441"/>
      <c r="K141" s="441"/>
      <c r="L141" s="441"/>
      <c r="M141" s="441"/>
      <c r="N141" s="441"/>
      <c r="O141" s="441"/>
      <c r="P141" s="441"/>
      <c r="Q141" s="441"/>
      <c r="R141" s="441"/>
      <c r="S141" s="441"/>
      <c r="T141" s="442"/>
      <c r="U141" s="432"/>
    </row>
    <row r="142" spans="1:21" ht="15.75">
      <c r="A142" s="457"/>
      <c r="B142" s="429"/>
      <c r="C142" s="441"/>
      <c r="D142" s="586"/>
      <c r="E142" s="441"/>
      <c r="F142" s="441"/>
      <c r="G142" s="441"/>
      <c r="H142" s="441"/>
      <c r="I142" s="441"/>
      <c r="J142" s="441"/>
      <c r="K142" s="441"/>
      <c r="L142" s="441"/>
      <c r="M142" s="441"/>
      <c r="N142" s="441"/>
      <c r="O142" s="441"/>
      <c r="P142" s="441"/>
      <c r="Q142" s="441"/>
      <c r="R142" s="441"/>
      <c r="S142" s="441"/>
      <c r="T142" s="442"/>
      <c r="U142" s="432"/>
    </row>
    <row r="143" spans="1:21" ht="15.75">
      <c r="A143" s="457"/>
      <c r="B143" s="429"/>
      <c r="C143" s="441"/>
      <c r="D143" s="586"/>
      <c r="E143" s="441"/>
      <c r="F143" s="441"/>
      <c r="G143" s="441"/>
      <c r="H143" s="441"/>
      <c r="I143" s="441"/>
      <c r="J143" s="441"/>
      <c r="K143" s="441"/>
      <c r="L143" s="441"/>
      <c r="M143" s="441"/>
      <c r="N143" s="441"/>
      <c r="O143" s="441"/>
      <c r="P143" s="441"/>
      <c r="Q143" s="441"/>
      <c r="R143" s="441"/>
      <c r="S143" s="441"/>
      <c r="T143" s="442"/>
      <c r="U143" s="432"/>
    </row>
    <row r="144" spans="1:21" ht="15.75">
      <c r="A144" s="457"/>
      <c r="B144" s="429"/>
      <c r="C144" s="441"/>
      <c r="D144" s="586"/>
      <c r="E144" s="441"/>
      <c r="F144" s="441"/>
      <c r="G144" s="441"/>
      <c r="H144" s="441"/>
      <c r="I144" s="441"/>
      <c r="J144" s="441"/>
      <c r="K144" s="441"/>
      <c r="L144" s="441"/>
      <c r="M144" s="441"/>
      <c r="N144" s="441"/>
      <c r="O144" s="441"/>
      <c r="P144" s="441"/>
      <c r="Q144" s="441"/>
      <c r="R144" s="441"/>
      <c r="S144" s="441"/>
      <c r="T144" s="442"/>
      <c r="U144" s="432"/>
    </row>
    <row r="145" spans="1:21" ht="15.75">
      <c r="A145" s="457"/>
      <c r="B145" s="429"/>
      <c r="C145" s="441"/>
      <c r="D145" s="586"/>
      <c r="E145" s="441"/>
      <c r="F145" s="441"/>
      <c r="G145" s="441"/>
      <c r="H145" s="441"/>
      <c r="I145" s="441"/>
      <c r="J145" s="441"/>
      <c r="K145" s="441"/>
      <c r="L145" s="441"/>
      <c r="M145" s="441"/>
      <c r="N145" s="441"/>
      <c r="O145" s="441"/>
      <c r="P145" s="441"/>
      <c r="Q145" s="441"/>
      <c r="R145" s="441"/>
      <c r="S145" s="441"/>
      <c r="T145" s="442"/>
      <c r="U145" s="432"/>
    </row>
    <row r="146" spans="1:21" ht="15.75">
      <c r="A146" s="457"/>
      <c r="B146" s="429"/>
      <c r="C146" s="441"/>
      <c r="D146" s="586"/>
      <c r="E146" s="441"/>
      <c r="F146" s="441"/>
      <c r="G146" s="441"/>
      <c r="H146" s="441"/>
      <c r="I146" s="441"/>
      <c r="J146" s="441"/>
      <c r="K146" s="441"/>
      <c r="L146" s="441"/>
      <c r="M146" s="441"/>
      <c r="N146" s="441"/>
      <c r="O146" s="441"/>
      <c r="P146" s="441"/>
      <c r="Q146" s="441"/>
      <c r="R146" s="441"/>
      <c r="S146" s="441"/>
      <c r="T146" s="442"/>
      <c r="U146" s="432"/>
    </row>
    <row r="147" spans="1:21" ht="15.75">
      <c r="A147" s="457"/>
      <c r="B147" s="429"/>
      <c r="C147" s="441"/>
      <c r="D147" s="586"/>
      <c r="E147" s="441"/>
      <c r="F147" s="441"/>
      <c r="G147" s="441"/>
      <c r="H147" s="441"/>
      <c r="I147" s="441"/>
      <c r="J147" s="441"/>
      <c r="K147" s="441"/>
      <c r="L147" s="441"/>
      <c r="M147" s="441"/>
      <c r="N147" s="441"/>
      <c r="O147" s="441"/>
      <c r="P147" s="441"/>
      <c r="Q147" s="441"/>
      <c r="R147" s="441"/>
      <c r="S147" s="441"/>
      <c r="T147" s="442"/>
      <c r="U147" s="432"/>
    </row>
    <row r="148" spans="1:21" ht="15.75">
      <c r="A148" s="457"/>
      <c r="B148" s="429"/>
      <c r="C148" s="441"/>
      <c r="D148" s="586"/>
      <c r="E148" s="441"/>
      <c r="F148" s="441"/>
      <c r="G148" s="441"/>
      <c r="H148" s="441"/>
      <c r="I148" s="441"/>
      <c r="J148" s="441"/>
      <c r="K148" s="441"/>
      <c r="L148" s="441"/>
      <c r="M148" s="441"/>
      <c r="N148" s="441"/>
      <c r="O148" s="441"/>
      <c r="P148" s="441"/>
      <c r="Q148" s="441"/>
      <c r="R148" s="441"/>
      <c r="S148" s="441"/>
      <c r="T148" s="442"/>
      <c r="U148" s="432"/>
    </row>
    <row r="149" spans="1:21" ht="15.75">
      <c r="A149" s="457"/>
      <c r="B149" s="429"/>
      <c r="C149" s="441"/>
      <c r="D149" s="586"/>
      <c r="E149" s="441"/>
      <c r="F149" s="441"/>
      <c r="G149" s="441"/>
      <c r="H149" s="441"/>
      <c r="I149" s="441"/>
      <c r="J149" s="441"/>
      <c r="K149" s="441"/>
      <c r="L149" s="441"/>
      <c r="M149" s="441"/>
      <c r="N149" s="441"/>
      <c r="O149" s="441"/>
      <c r="P149" s="441"/>
      <c r="Q149" s="441"/>
      <c r="R149" s="441"/>
      <c r="S149" s="441"/>
      <c r="T149" s="442"/>
      <c r="U149" s="432"/>
    </row>
    <row r="150" spans="1:21" ht="15.75">
      <c r="A150" s="457"/>
      <c r="B150" s="429"/>
      <c r="C150" s="441"/>
      <c r="D150" s="586"/>
      <c r="E150" s="441"/>
      <c r="F150" s="441"/>
      <c r="G150" s="441"/>
      <c r="H150" s="441"/>
      <c r="I150" s="441"/>
      <c r="J150" s="441"/>
      <c r="K150" s="441"/>
      <c r="L150" s="441"/>
      <c r="M150" s="441"/>
      <c r="N150" s="441"/>
      <c r="O150" s="441"/>
      <c r="P150" s="441"/>
      <c r="Q150" s="441"/>
      <c r="R150" s="441"/>
      <c r="S150" s="441"/>
      <c r="T150" s="442"/>
      <c r="U150" s="432"/>
    </row>
    <row r="151" spans="1:21" ht="15.75">
      <c r="A151" s="457"/>
      <c r="B151" s="429"/>
      <c r="C151" s="441"/>
      <c r="D151" s="586"/>
      <c r="E151" s="441"/>
      <c r="F151" s="441"/>
      <c r="G151" s="441"/>
      <c r="H151" s="441"/>
      <c r="I151" s="441"/>
      <c r="J151" s="441"/>
      <c r="K151" s="441"/>
      <c r="L151" s="441"/>
      <c r="M151" s="441"/>
      <c r="N151" s="441"/>
      <c r="O151" s="441"/>
      <c r="P151" s="441"/>
      <c r="Q151" s="441"/>
      <c r="R151" s="441"/>
      <c r="S151" s="441"/>
      <c r="T151" s="442"/>
      <c r="U151" s="432"/>
    </row>
    <row r="152" spans="1:21" ht="15.75">
      <c r="A152" s="457"/>
      <c r="B152" s="429"/>
      <c r="C152" s="441"/>
      <c r="D152" s="586"/>
      <c r="E152" s="441"/>
      <c r="F152" s="441"/>
      <c r="G152" s="441"/>
      <c r="H152" s="441"/>
      <c r="I152" s="441"/>
      <c r="J152" s="441"/>
      <c r="K152" s="441"/>
      <c r="L152" s="441"/>
      <c r="M152" s="441"/>
      <c r="N152" s="441"/>
      <c r="O152" s="441"/>
      <c r="P152" s="441"/>
      <c r="Q152" s="441"/>
      <c r="R152" s="441"/>
      <c r="S152" s="441"/>
      <c r="T152" s="442"/>
      <c r="U152" s="432"/>
    </row>
    <row r="153" spans="1:21" ht="15.75">
      <c r="A153" s="457"/>
      <c r="B153" s="429"/>
      <c r="C153" s="441"/>
      <c r="D153" s="586"/>
      <c r="E153" s="441"/>
      <c r="F153" s="441"/>
      <c r="G153" s="441"/>
      <c r="H153" s="441"/>
      <c r="I153" s="441"/>
      <c r="J153" s="441"/>
      <c r="K153" s="441"/>
      <c r="L153" s="441"/>
      <c r="M153" s="441"/>
      <c r="N153" s="441"/>
      <c r="O153" s="441"/>
      <c r="P153" s="441"/>
      <c r="Q153" s="441"/>
      <c r="R153" s="441"/>
      <c r="S153" s="441"/>
      <c r="T153" s="442"/>
      <c r="U153" s="432"/>
    </row>
    <row r="154" spans="1:21" ht="15.75">
      <c r="A154" s="457"/>
      <c r="B154" s="429"/>
      <c r="C154" s="441"/>
      <c r="D154" s="586"/>
      <c r="E154" s="441"/>
      <c r="F154" s="441"/>
      <c r="G154" s="441"/>
      <c r="H154" s="441"/>
      <c r="I154" s="441"/>
      <c r="J154" s="441"/>
      <c r="K154" s="441"/>
      <c r="L154" s="441"/>
      <c r="M154" s="441"/>
      <c r="N154" s="441"/>
      <c r="O154" s="441"/>
      <c r="P154" s="441"/>
      <c r="Q154" s="441"/>
      <c r="R154" s="441"/>
      <c r="S154" s="441"/>
      <c r="T154" s="442"/>
      <c r="U154" s="432"/>
    </row>
    <row r="155" spans="1:21" ht="15.75">
      <c r="A155" s="457"/>
      <c r="B155" s="429"/>
      <c r="C155" s="441"/>
      <c r="D155" s="586"/>
      <c r="E155" s="441"/>
      <c r="F155" s="441"/>
      <c r="G155" s="441"/>
      <c r="H155" s="441"/>
      <c r="I155" s="441"/>
      <c r="J155" s="441"/>
      <c r="K155" s="441"/>
      <c r="L155" s="441"/>
      <c r="M155" s="441"/>
      <c r="N155" s="441"/>
      <c r="O155" s="441"/>
      <c r="P155" s="441"/>
      <c r="Q155" s="441"/>
      <c r="R155" s="441"/>
      <c r="S155" s="441"/>
      <c r="T155" s="442"/>
      <c r="U155" s="432"/>
    </row>
    <row r="156" spans="1:21" ht="15.75">
      <c r="A156" s="457"/>
      <c r="B156" s="429"/>
      <c r="C156" s="441"/>
      <c r="D156" s="586"/>
      <c r="E156" s="441"/>
      <c r="F156" s="441"/>
      <c r="G156" s="441"/>
      <c r="H156" s="441"/>
      <c r="I156" s="441"/>
      <c r="J156" s="441"/>
      <c r="K156" s="441"/>
      <c r="L156" s="441"/>
      <c r="M156" s="441"/>
      <c r="N156" s="441"/>
      <c r="O156" s="441"/>
      <c r="P156" s="441"/>
      <c r="Q156" s="441"/>
      <c r="R156" s="441"/>
      <c r="S156" s="441"/>
      <c r="T156" s="442"/>
      <c r="U156" s="432"/>
    </row>
    <row r="157" spans="1:21" ht="15.75">
      <c r="A157" s="457"/>
      <c r="B157" s="429"/>
      <c r="C157" s="441"/>
      <c r="D157" s="586"/>
      <c r="E157" s="441"/>
      <c r="F157" s="441"/>
      <c r="G157" s="441"/>
      <c r="H157" s="441"/>
      <c r="I157" s="441"/>
      <c r="J157" s="441"/>
      <c r="K157" s="441"/>
      <c r="L157" s="441"/>
      <c r="M157" s="441"/>
      <c r="N157" s="441"/>
      <c r="O157" s="441"/>
      <c r="P157" s="441"/>
      <c r="Q157" s="441"/>
      <c r="R157" s="441"/>
      <c r="S157" s="441"/>
      <c r="T157" s="442"/>
      <c r="U157" s="432"/>
    </row>
    <row r="158" spans="1:21" ht="15.75">
      <c r="A158" s="457"/>
      <c r="B158" s="429"/>
      <c r="C158" s="441"/>
      <c r="D158" s="586"/>
      <c r="E158" s="441"/>
      <c r="F158" s="441"/>
      <c r="G158" s="441"/>
      <c r="H158" s="441"/>
      <c r="I158" s="441"/>
      <c r="J158" s="441"/>
      <c r="K158" s="441"/>
      <c r="L158" s="441"/>
      <c r="M158" s="441"/>
      <c r="N158" s="441"/>
      <c r="O158" s="441"/>
      <c r="P158" s="441"/>
      <c r="Q158" s="441"/>
      <c r="R158" s="441"/>
      <c r="S158" s="441"/>
      <c r="T158" s="442"/>
      <c r="U158" s="432"/>
    </row>
    <row r="159" spans="1:21" ht="15.75">
      <c r="A159" s="457"/>
      <c r="B159" s="429"/>
      <c r="C159" s="441"/>
      <c r="D159" s="586"/>
      <c r="E159" s="441"/>
      <c r="F159" s="441"/>
      <c r="G159" s="441"/>
      <c r="H159" s="441"/>
      <c r="I159" s="441"/>
      <c r="J159" s="441"/>
      <c r="K159" s="441"/>
      <c r="L159" s="441"/>
      <c r="M159" s="441"/>
      <c r="N159" s="441"/>
      <c r="O159" s="441"/>
      <c r="P159" s="441"/>
      <c r="Q159" s="441"/>
      <c r="R159" s="441"/>
      <c r="S159" s="441"/>
      <c r="T159" s="442"/>
      <c r="U159" s="432"/>
    </row>
    <row r="160" spans="1:21" ht="15.75">
      <c r="A160" s="457"/>
      <c r="B160" s="429"/>
      <c r="C160" s="441"/>
      <c r="D160" s="586"/>
      <c r="E160" s="441"/>
      <c r="F160" s="441"/>
      <c r="G160" s="441"/>
      <c r="H160" s="441"/>
      <c r="I160" s="441"/>
      <c r="J160" s="441"/>
      <c r="K160" s="441"/>
      <c r="L160" s="441"/>
      <c r="M160" s="441"/>
      <c r="N160" s="441"/>
      <c r="O160" s="441"/>
      <c r="P160" s="441"/>
      <c r="Q160" s="441"/>
      <c r="R160" s="441"/>
      <c r="S160" s="441"/>
      <c r="T160" s="442"/>
      <c r="U160" s="432"/>
    </row>
    <row r="161" spans="1:21" ht="15.75">
      <c r="A161" s="457"/>
      <c r="B161" s="429"/>
      <c r="C161" s="441"/>
      <c r="D161" s="586"/>
      <c r="E161" s="441"/>
      <c r="F161" s="441"/>
      <c r="G161" s="441"/>
      <c r="H161" s="441"/>
      <c r="I161" s="441"/>
      <c r="J161" s="441"/>
      <c r="K161" s="441"/>
      <c r="L161" s="441"/>
      <c r="M161" s="441"/>
      <c r="N161" s="441"/>
      <c r="O161" s="441"/>
      <c r="P161" s="441"/>
      <c r="Q161" s="441"/>
      <c r="R161" s="441"/>
      <c r="S161" s="441"/>
      <c r="T161" s="442"/>
      <c r="U161" s="432"/>
    </row>
    <row r="162" spans="1:21" ht="15.75">
      <c r="A162" s="457"/>
      <c r="B162" s="429"/>
      <c r="C162" s="441"/>
      <c r="D162" s="586"/>
      <c r="E162" s="441"/>
      <c r="F162" s="441"/>
      <c r="G162" s="441"/>
      <c r="H162" s="441"/>
      <c r="I162" s="441"/>
      <c r="J162" s="441"/>
      <c r="K162" s="441"/>
      <c r="L162" s="441"/>
      <c r="M162" s="441"/>
      <c r="N162" s="441"/>
      <c r="O162" s="441"/>
      <c r="P162" s="441"/>
      <c r="Q162" s="441"/>
      <c r="R162" s="441"/>
      <c r="S162" s="441"/>
      <c r="T162" s="442"/>
      <c r="U162" s="432"/>
    </row>
    <row r="163" spans="1:21" ht="15.75">
      <c r="A163" s="457"/>
      <c r="B163" s="429"/>
      <c r="C163" s="441"/>
      <c r="D163" s="586"/>
      <c r="E163" s="441"/>
      <c r="F163" s="441"/>
      <c r="G163" s="441"/>
      <c r="H163" s="441"/>
      <c r="I163" s="441"/>
      <c r="J163" s="441"/>
      <c r="K163" s="441"/>
      <c r="L163" s="441"/>
      <c r="M163" s="441"/>
      <c r="N163" s="441"/>
      <c r="O163" s="441"/>
      <c r="P163" s="441"/>
      <c r="Q163" s="441"/>
      <c r="R163" s="441"/>
      <c r="S163" s="441"/>
      <c r="T163" s="442"/>
      <c r="U163" s="432"/>
    </row>
    <row r="164" spans="1:21" ht="15.75">
      <c r="A164" s="457"/>
      <c r="B164" s="429"/>
      <c r="C164" s="441"/>
      <c r="D164" s="586"/>
      <c r="E164" s="441"/>
      <c r="F164" s="441"/>
      <c r="G164" s="441"/>
      <c r="H164" s="441"/>
      <c r="I164" s="441"/>
      <c r="J164" s="441"/>
      <c r="K164" s="441"/>
      <c r="L164" s="441"/>
      <c r="M164" s="441"/>
      <c r="N164" s="441"/>
      <c r="O164" s="441"/>
      <c r="P164" s="441"/>
      <c r="Q164" s="441"/>
      <c r="R164" s="441"/>
      <c r="S164" s="441"/>
      <c r="T164" s="442"/>
      <c r="U164" s="432"/>
    </row>
    <row r="165" spans="1:21" ht="15.75">
      <c r="A165" s="457"/>
      <c r="B165" s="429"/>
      <c r="C165" s="441"/>
      <c r="D165" s="586"/>
      <c r="E165" s="441"/>
      <c r="F165" s="441"/>
      <c r="G165" s="441"/>
      <c r="H165" s="441"/>
      <c r="I165" s="441"/>
      <c r="J165" s="441"/>
      <c r="K165" s="441"/>
      <c r="L165" s="441"/>
      <c r="M165" s="441"/>
      <c r="N165" s="441"/>
      <c r="O165" s="441"/>
      <c r="P165" s="441"/>
      <c r="Q165" s="441"/>
      <c r="R165" s="441"/>
      <c r="S165" s="441"/>
      <c r="T165" s="442"/>
      <c r="U165" s="432"/>
    </row>
    <row r="166" spans="1:21" ht="15.75">
      <c r="A166" s="457"/>
      <c r="B166" s="429"/>
      <c r="C166" s="441"/>
      <c r="D166" s="586"/>
      <c r="E166" s="441"/>
      <c r="F166" s="441"/>
      <c r="G166" s="441"/>
      <c r="H166" s="441"/>
      <c r="I166" s="441"/>
      <c r="J166" s="441"/>
      <c r="K166" s="441"/>
      <c r="L166" s="441"/>
      <c r="M166" s="441"/>
      <c r="N166" s="441"/>
      <c r="O166" s="441"/>
      <c r="P166" s="441"/>
      <c r="Q166" s="441"/>
      <c r="R166" s="441"/>
      <c r="S166" s="441"/>
      <c r="T166" s="442"/>
      <c r="U166" s="432"/>
    </row>
    <row r="167" spans="1:21" ht="15.75">
      <c r="A167" s="457"/>
      <c r="B167" s="429"/>
      <c r="C167" s="441"/>
      <c r="D167" s="586"/>
      <c r="E167" s="441"/>
      <c r="F167" s="441"/>
      <c r="G167" s="441"/>
      <c r="H167" s="441"/>
      <c r="I167" s="441"/>
      <c r="J167" s="441"/>
      <c r="K167" s="441"/>
      <c r="L167" s="441"/>
      <c r="M167" s="441"/>
      <c r="N167" s="441"/>
      <c r="O167" s="441"/>
      <c r="P167" s="441"/>
      <c r="Q167" s="441"/>
      <c r="R167" s="441"/>
      <c r="S167" s="441"/>
      <c r="T167" s="442"/>
      <c r="U167" s="432"/>
    </row>
    <row r="168" spans="1:21" ht="15.75">
      <c r="A168" s="457"/>
      <c r="B168" s="429"/>
      <c r="C168" s="441"/>
      <c r="D168" s="586"/>
      <c r="E168" s="441"/>
      <c r="F168" s="441"/>
      <c r="G168" s="441"/>
      <c r="H168" s="441"/>
      <c r="I168" s="441"/>
      <c r="J168" s="441"/>
      <c r="K168" s="441"/>
      <c r="L168" s="441"/>
      <c r="M168" s="441"/>
      <c r="N168" s="441"/>
      <c r="O168" s="441"/>
      <c r="P168" s="441"/>
      <c r="Q168" s="441"/>
      <c r="R168" s="441"/>
      <c r="S168" s="441"/>
      <c r="T168" s="442"/>
      <c r="U168" s="432"/>
    </row>
    <row r="169" spans="1:21" ht="15.75">
      <c r="A169" s="457"/>
      <c r="B169" s="429"/>
      <c r="C169" s="441"/>
      <c r="D169" s="586"/>
      <c r="E169" s="441"/>
      <c r="F169" s="441"/>
      <c r="G169" s="441"/>
      <c r="H169" s="441"/>
      <c r="I169" s="441"/>
      <c r="J169" s="441"/>
      <c r="K169" s="441"/>
      <c r="L169" s="441"/>
      <c r="M169" s="441"/>
      <c r="N169" s="441"/>
      <c r="O169" s="441"/>
      <c r="P169" s="441"/>
      <c r="Q169" s="441"/>
      <c r="R169" s="441"/>
      <c r="S169" s="441"/>
      <c r="T169" s="442"/>
      <c r="U169" s="432"/>
    </row>
    <row r="170" spans="1:21" ht="15.75">
      <c r="A170" s="457"/>
      <c r="B170" s="429"/>
      <c r="C170" s="441"/>
      <c r="D170" s="586"/>
      <c r="E170" s="441"/>
      <c r="F170" s="441"/>
      <c r="G170" s="441"/>
      <c r="H170" s="441"/>
      <c r="I170" s="441"/>
      <c r="J170" s="441"/>
      <c r="K170" s="441"/>
      <c r="L170" s="441"/>
      <c r="M170" s="441"/>
      <c r="N170" s="441"/>
      <c r="O170" s="441"/>
      <c r="P170" s="441"/>
      <c r="Q170" s="441"/>
      <c r="R170" s="441"/>
      <c r="S170" s="441"/>
      <c r="T170" s="442"/>
      <c r="U170" s="432"/>
    </row>
    <row r="171" spans="1:21" ht="15.75">
      <c r="A171" s="457"/>
      <c r="B171" s="429"/>
      <c r="C171" s="441"/>
      <c r="D171" s="586"/>
      <c r="E171" s="441"/>
      <c r="F171" s="441"/>
      <c r="G171" s="441"/>
      <c r="H171" s="441"/>
      <c r="I171" s="441"/>
      <c r="J171" s="441"/>
      <c r="K171" s="441"/>
      <c r="L171" s="441"/>
      <c r="M171" s="441"/>
      <c r="N171" s="441"/>
      <c r="O171" s="441"/>
      <c r="P171" s="441"/>
      <c r="Q171" s="441"/>
      <c r="R171" s="441"/>
      <c r="S171" s="441"/>
      <c r="T171" s="442"/>
      <c r="U171" s="432"/>
    </row>
    <row r="172" spans="1:21" ht="15.75">
      <c r="A172" s="457"/>
      <c r="B172" s="429"/>
      <c r="C172" s="441"/>
      <c r="D172" s="586"/>
      <c r="E172" s="441"/>
      <c r="F172" s="441"/>
      <c r="G172" s="441"/>
      <c r="H172" s="441"/>
      <c r="I172" s="441"/>
      <c r="J172" s="441"/>
      <c r="K172" s="441"/>
      <c r="L172" s="441"/>
      <c r="M172" s="441"/>
      <c r="N172" s="441"/>
      <c r="O172" s="441"/>
      <c r="P172" s="441"/>
      <c r="Q172" s="441"/>
      <c r="R172" s="441"/>
      <c r="S172" s="441"/>
      <c r="T172" s="442"/>
      <c r="U172" s="432"/>
    </row>
  </sheetData>
  <sheetProtection/>
  <mergeCells count="37">
    <mergeCell ref="J8:Q8"/>
    <mergeCell ref="Q2:T2"/>
    <mergeCell ref="Q4:T4"/>
    <mergeCell ref="Q127:S127"/>
    <mergeCell ref="A3:D3"/>
    <mergeCell ref="R7:R9"/>
    <mergeCell ref="I8:I9"/>
    <mergeCell ref="A10:B10"/>
    <mergeCell ref="Q5:T5"/>
    <mergeCell ref="E1:P1"/>
    <mergeCell ref="E2:P2"/>
    <mergeCell ref="E3:P3"/>
    <mergeCell ref="T6:T9"/>
    <mergeCell ref="I7:Q7"/>
    <mergeCell ref="S6:S9"/>
    <mergeCell ref="E8:E9"/>
    <mergeCell ref="A2:D2"/>
    <mergeCell ref="B125:E125"/>
    <mergeCell ref="A124:E124"/>
    <mergeCell ref="H6:R6"/>
    <mergeCell ref="D7:E7"/>
    <mergeCell ref="C6:E6"/>
    <mergeCell ref="C7:C9"/>
    <mergeCell ref="F6:F9"/>
    <mergeCell ref="G6:G9"/>
    <mergeCell ref="H7:H9"/>
    <mergeCell ref="D8:D9"/>
    <mergeCell ref="O124:T124"/>
    <mergeCell ref="A6:B9"/>
    <mergeCell ref="B127:D127"/>
    <mergeCell ref="A11:B11"/>
    <mergeCell ref="B132:E132"/>
    <mergeCell ref="P132:T132"/>
    <mergeCell ref="B131:E131"/>
    <mergeCell ref="B129:P129"/>
    <mergeCell ref="O131:T131"/>
    <mergeCell ref="O125:T125"/>
  </mergeCells>
  <conditionalFormatting sqref="C93:C94">
    <cfRule type="expression" priority="2" dxfId="0" stopIfTrue="1">
      <formula>$C$16&lt;&gt;$F$16+$H$16</formula>
    </cfRule>
  </conditionalFormatting>
  <printOptions/>
  <pageMargins left="0.24" right="0" top="0" bottom="0" header="0.511811023622047" footer="0.275590551181102"/>
  <pageSetup horizontalDpi="600" verticalDpi="600" orientation="landscape" paperSize="9" scale="76" r:id="rId2"/>
  <headerFooter alignWithMargins="0">
    <oddFooter>&amp;CPage &amp;P</oddFooter>
  </headerFooter>
  <ignoredErrors>
    <ignoredError sqref="A32:A34 A119:B123 L10:T10 B33:P33 B61:C61 B67 J67:R67 D67:G67 B81:B84 B42:B48 B41:P41 B34:B40 B92:B99 A61:A118 B113:B117 B76:B79 A50:A51 A13:A31" numberStoredAsText="1"/>
    <ignoredError sqref="C92 C119 C76 H67 C67 C99 C96 I49 I67 H80:I80 C113:R113" numberStoredAsText="1" unlockedFormula="1"/>
    <ignoredError sqref="C119 C76" numberStoredAsText="1" formula="1"/>
    <ignoredError sqref="H67 C67 C99 C96" numberStoredAsText="1" formula="1" unlockedFormula="1"/>
    <ignoredError sqref="C80:G80 C97:R98 D96:R96 C77:R79 D92:R92 D53" unlockedFormula="1"/>
    <ignoredError sqref="C49 H49 I50 H50 J80:K80 C45:R45" formula="1"/>
    <ignoredError sqref="I49" formula="1" formulaRange="1"/>
    <ignoredError sqref="I67" numberStoredAsText="1" formula="1" formulaRange="1" unlockedFormula="1"/>
    <ignoredError sqref="H80:I80" formula="1" formulaRange="1" unlockedFormula="1"/>
    <ignoredError sqref="S33:T33 T28:T31 S85:S123 S35:S68" formulaRange="1"/>
    <ignoredError sqref="C113:R113" formula="1" unlockedFormula="1"/>
  </ignoredErrors>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655" t="s">
        <v>29</v>
      </c>
      <c r="B1" s="655"/>
      <c r="C1" s="655"/>
      <c r="D1" s="655"/>
      <c r="E1" s="654" t="s">
        <v>371</v>
      </c>
      <c r="F1" s="654"/>
      <c r="G1" s="654"/>
      <c r="H1" s="654"/>
      <c r="I1" s="654"/>
      <c r="J1" s="654"/>
      <c r="K1" s="654"/>
      <c r="L1" s="31" t="s">
        <v>347</v>
      </c>
      <c r="M1" s="31"/>
      <c r="N1" s="31"/>
      <c r="O1" s="32"/>
      <c r="P1" s="32"/>
    </row>
    <row r="2" spans="1:16" ht="15.75" customHeight="1">
      <c r="A2" s="657" t="s">
        <v>238</v>
      </c>
      <c r="B2" s="657"/>
      <c r="C2" s="657"/>
      <c r="D2" s="657"/>
      <c r="E2" s="654"/>
      <c r="F2" s="654"/>
      <c r="G2" s="654"/>
      <c r="H2" s="654"/>
      <c r="I2" s="654"/>
      <c r="J2" s="654"/>
      <c r="K2" s="654"/>
      <c r="L2" s="658" t="s">
        <v>250</v>
      </c>
      <c r="M2" s="658"/>
      <c r="N2" s="658"/>
      <c r="O2" s="35"/>
      <c r="P2" s="32"/>
    </row>
    <row r="3" spans="1:16" ht="18" customHeight="1">
      <c r="A3" s="657" t="s">
        <v>239</v>
      </c>
      <c r="B3" s="657"/>
      <c r="C3" s="657"/>
      <c r="D3" s="657"/>
      <c r="E3" s="656" t="s">
        <v>367</v>
      </c>
      <c r="F3" s="656"/>
      <c r="G3" s="656"/>
      <c r="H3" s="656"/>
      <c r="I3" s="656"/>
      <c r="J3" s="656"/>
      <c r="K3" s="36"/>
      <c r="L3" s="659" t="s">
        <v>366</v>
      </c>
      <c r="M3" s="659"/>
      <c r="N3" s="659"/>
      <c r="O3" s="32"/>
      <c r="P3" s="32"/>
    </row>
    <row r="4" spans="1:16" ht="21" customHeight="1">
      <c r="A4" s="660" t="s">
        <v>253</v>
      </c>
      <c r="B4" s="660"/>
      <c r="C4" s="660"/>
      <c r="D4" s="660"/>
      <c r="E4" s="39"/>
      <c r="F4" s="40"/>
      <c r="G4" s="41"/>
      <c r="H4" s="41"/>
      <c r="I4" s="41"/>
      <c r="J4" s="41"/>
      <c r="K4" s="32"/>
      <c r="L4" s="658" t="s">
        <v>245</v>
      </c>
      <c r="M4" s="658"/>
      <c r="N4" s="658"/>
      <c r="O4" s="35"/>
      <c r="P4" s="32"/>
    </row>
    <row r="5" spans="1:16" ht="18" customHeight="1">
      <c r="A5" s="41"/>
      <c r="B5" s="32"/>
      <c r="C5" s="42"/>
      <c r="D5" s="664"/>
      <c r="E5" s="664"/>
      <c r="F5" s="664"/>
      <c r="G5" s="664"/>
      <c r="H5" s="664"/>
      <c r="I5" s="664"/>
      <c r="J5" s="664"/>
      <c r="K5" s="664"/>
      <c r="L5" s="43" t="s">
        <v>254</v>
      </c>
      <c r="M5" s="43"/>
      <c r="N5" s="43"/>
      <c r="O5" s="32"/>
      <c r="P5" s="32"/>
    </row>
    <row r="6" spans="1:18" ht="33" customHeight="1">
      <c r="A6" s="644" t="s">
        <v>55</v>
      </c>
      <c r="B6" s="645"/>
      <c r="C6" s="665" t="s">
        <v>255</v>
      </c>
      <c r="D6" s="665"/>
      <c r="E6" s="665"/>
      <c r="F6" s="665"/>
      <c r="G6" s="651" t="s">
        <v>7</v>
      </c>
      <c r="H6" s="652"/>
      <c r="I6" s="652"/>
      <c r="J6" s="652"/>
      <c r="K6" s="652"/>
      <c r="L6" s="652"/>
      <c r="M6" s="652"/>
      <c r="N6" s="653"/>
      <c r="O6" s="661" t="s">
        <v>256</v>
      </c>
      <c r="P6" s="662"/>
      <c r="Q6" s="662"/>
      <c r="R6" s="663"/>
    </row>
    <row r="7" spans="1:18" ht="29.25" customHeight="1">
      <c r="A7" s="646"/>
      <c r="B7" s="647"/>
      <c r="C7" s="665"/>
      <c r="D7" s="665"/>
      <c r="E7" s="665"/>
      <c r="F7" s="665"/>
      <c r="G7" s="651" t="s">
        <v>257</v>
      </c>
      <c r="H7" s="652"/>
      <c r="I7" s="652"/>
      <c r="J7" s="653"/>
      <c r="K7" s="651" t="s">
        <v>90</v>
      </c>
      <c r="L7" s="652"/>
      <c r="M7" s="652"/>
      <c r="N7" s="653"/>
      <c r="O7" s="45" t="s">
        <v>258</v>
      </c>
      <c r="P7" s="45" t="s">
        <v>259</v>
      </c>
      <c r="Q7" s="666" t="s">
        <v>260</v>
      </c>
      <c r="R7" s="666" t="s">
        <v>261</v>
      </c>
    </row>
    <row r="8" spans="1:18" ht="26.25" customHeight="1">
      <c r="A8" s="646"/>
      <c r="B8" s="647"/>
      <c r="C8" s="636" t="s">
        <v>87</v>
      </c>
      <c r="D8" s="637"/>
      <c r="E8" s="636" t="s">
        <v>86</v>
      </c>
      <c r="F8" s="637"/>
      <c r="G8" s="636" t="s">
        <v>88</v>
      </c>
      <c r="H8" s="638"/>
      <c r="I8" s="636" t="s">
        <v>89</v>
      </c>
      <c r="J8" s="638"/>
      <c r="K8" s="636" t="s">
        <v>91</v>
      </c>
      <c r="L8" s="638"/>
      <c r="M8" s="636" t="s">
        <v>92</v>
      </c>
      <c r="N8" s="638"/>
      <c r="O8" s="668" t="s">
        <v>262</v>
      </c>
      <c r="P8" s="669" t="s">
        <v>263</v>
      </c>
      <c r="Q8" s="666"/>
      <c r="R8" s="666"/>
    </row>
    <row r="9" spans="1:18" ht="30.75" customHeight="1">
      <c r="A9" s="646"/>
      <c r="B9" s="647"/>
      <c r="C9" s="46" t="s">
        <v>3</v>
      </c>
      <c r="D9" s="44" t="s">
        <v>9</v>
      </c>
      <c r="E9" s="44" t="s">
        <v>3</v>
      </c>
      <c r="F9" s="44" t="s">
        <v>9</v>
      </c>
      <c r="G9" s="47" t="s">
        <v>3</v>
      </c>
      <c r="H9" s="47" t="s">
        <v>9</v>
      </c>
      <c r="I9" s="47" t="s">
        <v>3</v>
      </c>
      <c r="J9" s="47" t="s">
        <v>9</v>
      </c>
      <c r="K9" s="47" t="s">
        <v>3</v>
      </c>
      <c r="L9" s="47" t="s">
        <v>9</v>
      </c>
      <c r="M9" s="47" t="s">
        <v>3</v>
      </c>
      <c r="N9" s="47" t="s">
        <v>9</v>
      </c>
      <c r="O9" s="668"/>
      <c r="P9" s="670"/>
      <c r="Q9" s="667"/>
      <c r="R9" s="667"/>
    </row>
    <row r="10" spans="1:18" s="52" customFormat="1" ht="18" customHeight="1">
      <c r="A10" s="643" t="s">
        <v>6</v>
      </c>
      <c r="B10" s="643"/>
      <c r="C10" s="48">
        <v>1</v>
      </c>
      <c r="D10" s="48">
        <v>2</v>
      </c>
      <c r="E10" s="48">
        <v>3</v>
      </c>
      <c r="F10" s="48">
        <v>4</v>
      </c>
      <c r="G10" s="48">
        <v>5</v>
      </c>
      <c r="H10" s="48">
        <v>6</v>
      </c>
      <c r="I10" s="48">
        <v>7</v>
      </c>
      <c r="J10" s="48">
        <v>8</v>
      </c>
      <c r="K10" s="48">
        <v>9</v>
      </c>
      <c r="L10" s="48">
        <v>10</v>
      </c>
      <c r="M10" s="48">
        <v>11</v>
      </c>
      <c r="N10" s="48">
        <v>12</v>
      </c>
      <c r="O10" s="49" t="s">
        <v>84</v>
      </c>
      <c r="P10" s="49" t="s">
        <v>85</v>
      </c>
      <c r="Q10" s="50"/>
      <c r="R10" s="51"/>
    </row>
    <row r="11" spans="1:18" s="52" customFormat="1" ht="18" customHeight="1" hidden="1">
      <c r="A11" s="639" t="s">
        <v>264</v>
      </c>
      <c r="B11" s="640"/>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641" t="s">
        <v>368</v>
      </c>
      <c r="B12" s="642"/>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648" t="s">
        <v>31</v>
      </c>
      <c r="B13" s="649"/>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265</v>
      </c>
    </row>
    <row r="14" spans="1:37" s="52" customFormat="1" ht="18" customHeight="1">
      <c r="A14" s="59" t="s">
        <v>0</v>
      </c>
      <c r="B14" s="60" t="s">
        <v>78</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266</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267</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268</v>
      </c>
    </row>
    <row r="18" spans="1:18" s="70" customFormat="1" ht="18" customHeight="1">
      <c r="A18" s="66" t="s">
        <v>47</v>
      </c>
      <c r="B18" s="67" t="s">
        <v>269</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56</v>
      </c>
      <c r="B19" s="67" t="s">
        <v>270</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57</v>
      </c>
      <c r="B20" s="71" t="s">
        <v>271</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58</v>
      </c>
      <c r="B21" s="67" t="s">
        <v>272</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273</v>
      </c>
      <c r="AK21" s="52" t="s">
        <v>274</v>
      </c>
      <c r="AL21" s="52" t="s">
        <v>275</v>
      </c>
      <c r="AM21" s="63" t="s">
        <v>276</v>
      </c>
    </row>
    <row r="22" spans="1:39" s="52" customFormat="1" ht="18" customHeight="1">
      <c r="A22" s="66" t="s">
        <v>59</v>
      </c>
      <c r="B22" s="67" t="s">
        <v>277</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278</v>
      </c>
    </row>
    <row r="23" spans="1:18" s="52" customFormat="1" ht="18" customHeight="1">
      <c r="A23" s="66" t="s">
        <v>60</v>
      </c>
      <c r="B23" s="67" t="s">
        <v>279</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61</v>
      </c>
      <c r="B24" s="67" t="s">
        <v>280</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273</v>
      </c>
    </row>
    <row r="25" spans="1:36" s="52" customFormat="1" ht="18" customHeight="1">
      <c r="A25" s="66" t="s">
        <v>81</v>
      </c>
      <c r="B25" s="67" t="s">
        <v>281</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282</v>
      </c>
    </row>
    <row r="26" spans="1:44" s="52" customFormat="1" ht="18" customHeight="1">
      <c r="A26" s="66" t="s">
        <v>82</v>
      </c>
      <c r="B26" s="67" t="s">
        <v>283</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650" t="s">
        <v>369</v>
      </c>
      <c r="C28" s="650"/>
      <c r="D28" s="650"/>
      <c r="E28" s="650"/>
      <c r="F28" s="75"/>
      <c r="G28" s="76"/>
      <c r="H28" s="76"/>
      <c r="I28" s="76"/>
      <c r="J28" s="650" t="s">
        <v>370</v>
      </c>
      <c r="K28" s="650"/>
      <c r="L28" s="650"/>
      <c r="M28" s="650"/>
      <c r="N28" s="650"/>
      <c r="O28" s="77"/>
      <c r="P28" s="77"/>
      <c r="AG28" s="78" t="s">
        <v>285</v>
      </c>
      <c r="AI28" s="79">
        <f>82/88</f>
        <v>0.9318181818181818</v>
      </c>
    </row>
    <row r="29" spans="1:16" s="85" customFormat="1" ht="19.5" customHeight="1">
      <c r="A29" s="80"/>
      <c r="B29" s="635" t="s">
        <v>35</v>
      </c>
      <c r="C29" s="635"/>
      <c r="D29" s="635"/>
      <c r="E29" s="635"/>
      <c r="F29" s="82"/>
      <c r="G29" s="83"/>
      <c r="H29" s="83"/>
      <c r="I29" s="83"/>
      <c r="J29" s="635" t="s">
        <v>286</v>
      </c>
      <c r="K29" s="635"/>
      <c r="L29" s="635"/>
      <c r="M29" s="635"/>
      <c r="N29" s="635"/>
      <c r="O29" s="84"/>
      <c r="P29" s="84"/>
    </row>
    <row r="30" spans="1:16" s="85" customFormat="1" ht="19.5" customHeight="1">
      <c r="A30" s="80"/>
      <c r="B30" s="671"/>
      <c r="C30" s="671"/>
      <c r="D30" s="671"/>
      <c r="E30" s="82"/>
      <c r="F30" s="82"/>
      <c r="G30" s="83"/>
      <c r="H30" s="83"/>
      <c r="I30" s="83"/>
      <c r="J30" s="672"/>
      <c r="K30" s="672"/>
      <c r="L30" s="672"/>
      <c r="M30" s="672"/>
      <c r="N30" s="672"/>
      <c r="O30" s="84"/>
      <c r="P30" s="84"/>
    </row>
    <row r="31" spans="1:16" s="85" customFormat="1" ht="8.25" customHeight="1">
      <c r="A31" s="80"/>
      <c r="B31" s="86"/>
      <c r="C31" s="86" t="s">
        <v>83</v>
      </c>
      <c r="D31" s="86"/>
      <c r="E31" s="87"/>
      <c r="F31" s="87"/>
      <c r="G31" s="88"/>
      <c r="H31" s="88"/>
      <c r="I31" s="88"/>
      <c r="J31" s="86"/>
      <c r="K31" s="86"/>
      <c r="L31" s="86"/>
      <c r="M31" s="86"/>
      <c r="N31" s="86"/>
      <c r="O31" s="84"/>
      <c r="P31" s="84"/>
    </row>
    <row r="32" spans="1:16" s="85" customFormat="1" ht="9" customHeight="1">
      <c r="A32" s="80"/>
      <c r="B32" s="674" t="s">
        <v>287</v>
      </c>
      <c r="C32" s="674"/>
      <c r="D32" s="674"/>
      <c r="E32" s="674"/>
      <c r="F32" s="87"/>
      <c r="G32" s="88"/>
      <c r="H32" s="88"/>
      <c r="I32" s="88"/>
      <c r="J32" s="673" t="s">
        <v>287</v>
      </c>
      <c r="K32" s="673"/>
      <c r="L32" s="673"/>
      <c r="M32" s="673"/>
      <c r="N32" s="673"/>
      <c r="O32" s="84"/>
      <c r="P32" s="84"/>
    </row>
    <row r="33" spans="1:16" s="85" customFormat="1" ht="19.5" customHeight="1">
      <c r="A33" s="80"/>
      <c r="B33" s="635" t="s">
        <v>288</v>
      </c>
      <c r="C33" s="635"/>
      <c r="D33" s="635"/>
      <c r="E33" s="635"/>
      <c r="F33" s="82"/>
      <c r="G33" s="83"/>
      <c r="H33" s="83"/>
      <c r="I33" s="83"/>
      <c r="J33" s="81"/>
      <c r="K33" s="635" t="s">
        <v>288</v>
      </c>
      <c r="L33" s="635"/>
      <c r="M33" s="635"/>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633" t="s">
        <v>241</v>
      </c>
      <c r="C36" s="633"/>
      <c r="D36" s="633"/>
      <c r="E36" s="633"/>
      <c r="F36" s="91"/>
      <c r="G36" s="91"/>
      <c r="H36" s="91"/>
      <c r="I36" s="91"/>
      <c r="J36" s="634" t="s">
        <v>242</v>
      </c>
      <c r="K36" s="634"/>
      <c r="L36" s="634"/>
      <c r="M36" s="634"/>
      <c r="N36" s="634"/>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0:D30"/>
    <mergeCell ref="J30:N30"/>
    <mergeCell ref="B33:E33"/>
    <mergeCell ref="K33:M33"/>
    <mergeCell ref="J32:N32"/>
    <mergeCell ref="B32:E32"/>
    <mergeCell ref="O6:R6"/>
    <mergeCell ref="D5:K5"/>
    <mergeCell ref="C6:F7"/>
    <mergeCell ref="G6:N6"/>
    <mergeCell ref="R7:R9"/>
    <mergeCell ref="Q7:Q9"/>
    <mergeCell ref="O8:O9"/>
    <mergeCell ref="P8:P9"/>
    <mergeCell ref="J29:N29"/>
    <mergeCell ref="E1:K2"/>
    <mergeCell ref="A1:D1"/>
    <mergeCell ref="E3:J3"/>
    <mergeCell ref="A3:D3"/>
    <mergeCell ref="L4:N4"/>
    <mergeCell ref="A2:D2"/>
    <mergeCell ref="L2:N2"/>
    <mergeCell ref="L3:N3"/>
    <mergeCell ref="A4:D4"/>
    <mergeCell ref="A13:B13"/>
    <mergeCell ref="B28:E28"/>
    <mergeCell ref="K7:N7"/>
    <mergeCell ref="I8:J8"/>
    <mergeCell ref="M8:N8"/>
    <mergeCell ref="G7:J7"/>
    <mergeCell ref="J28:N28"/>
    <mergeCell ref="K8:L8"/>
    <mergeCell ref="B36:E36"/>
    <mergeCell ref="J36:N36"/>
    <mergeCell ref="B29:E29"/>
    <mergeCell ref="E8:F8"/>
    <mergeCell ref="G8:H8"/>
    <mergeCell ref="C8:D8"/>
    <mergeCell ref="A11:B11"/>
    <mergeCell ref="A12:B12"/>
    <mergeCell ref="A10:B10"/>
    <mergeCell ref="A6:B9"/>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710" t="s">
        <v>26</v>
      </c>
      <c r="B1" s="710"/>
      <c r="C1" s="98"/>
      <c r="D1" s="713" t="s">
        <v>348</v>
      </c>
      <c r="E1" s="713"/>
      <c r="F1" s="713"/>
      <c r="G1" s="713"/>
      <c r="H1" s="713"/>
      <c r="I1" s="713"/>
      <c r="J1" s="713"/>
      <c r="K1" s="713"/>
      <c r="L1" s="713"/>
      <c r="M1" s="686" t="s">
        <v>289</v>
      </c>
      <c r="N1" s="687"/>
      <c r="O1" s="687"/>
      <c r="P1" s="687"/>
    </row>
    <row r="2" spans="1:16" s="42" customFormat="1" ht="34.5" customHeight="1">
      <c r="A2" s="712" t="s">
        <v>290</v>
      </c>
      <c r="B2" s="712"/>
      <c r="C2" s="712"/>
      <c r="D2" s="713"/>
      <c r="E2" s="713"/>
      <c r="F2" s="713"/>
      <c r="G2" s="713"/>
      <c r="H2" s="713"/>
      <c r="I2" s="713"/>
      <c r="J2" s="713"/>
      <c r="K2" s="713"/>
      <c r="L2" s="713"/>
      <c r="M2" s="688" t="s">
        <v>349</v>
      </c>
      <c r="N2" s="689"/>
      <c r="O2" s="689"/>
      <c r="P2" s="689"/>
    </row>
    <row r="3" spans="1:16" s="42" customFormat="1" ht="19.5" customHeight="1">
      <c r="A3" s="711" t="s">
        <v>291</v>
      </c>
      <c r="B3" s="711"/>
      <c r="C3" s="711"/>
      <c r="D3" s="713"/>
      <c r="E3" s="713"/>
      <c r="F3" s="713"/>
      <c r="G3" s="713"/>
      <c r="H3" s="713"/>
      <c r="I3" s="713"/>
      <c r="J3" s="713"/>
      <c r="K3" s="713"/>
      <c r="L3" s="713"/>
      <c r="M3" s="688" t="s">
        <v>292</v>
      </c>
      <c r="N3" s="689"/>
      <c r="O3" s="689"/>
      <c r="P3" s="689"/>
    </row>
    <row r="4" spans="1:16" s="103" customFormat="1" ht="18.75" customHeight="1">
      <c r="A4" s="99"/>
      <c r="B4" s="99"/>
      <c r="C4" s="100"/>
      <c r="D4" s="664"/>
      <c r="E4" s="664"/>
      <c r="F4" s="664"/>
      <c r="G4" s="664"/>
      <c r="H4" s="664"/>
      <c r="I4" s="664"/>
      <c r="J4" s="664"/>
      <c r="K4" s="664"/>
      <c r="L4" s="664"/>
      <c r="M4" s="101" t="s">
        <v>293</v>
      </c>
      <c r="N4" s="102"/>
      <c r="O4" s="102"/>
      <c r="P4" s="102"/>
    </row>
    <row r="5" spans="1:16" ht="49.5" customHeight="1">
      <c r="A5" s="699" t="s">
        <v>55</v>
      </c>
      <c r="B5" s="700"/>
      <c r="C5" s="705" t="s">
        <v>80</v>
      </c>
      <c r="D5" s="691"/>
      <c r="E5" s="691"/>
      <c r="F5" s="691"/>
      <c r="G5" s="691"/>
      <c r="H5" s="691"/>
      <c r="I5" s="691"/>
      <c r="J5" s="691"/>
      <c r="K5" s="685" t="s">
        <v>79</v>
      </c>
      <c r="L5" s="685"/>
      <c r="M5" s="685"/>
      <c r="N5" s="685"/>
      <c r="O5" s="685"/>
      <c r="P5" s="685"/>
    </row>
    <row r="6" spans="1:16" ht="20.25" customHeight="1">
      <c r="A6" s="701"/>
      <c r="B6" s="702"/>
      <c r="C6" s="705" t="s">
        <v>3</v>
      </c>
      <c r="D6" s="691"/>
      <c r="E6" s="691"/>
      <c r="F6" s="692"/>
      <c r="G6" s="685" t="s">
        <v>9</v>
      </c>
      <c r="H6" s="685"/>
      <c r="I6" s="685"/>
      <c r="J6" s="685"/>
      <c r="K6" s="690" t="s">
        <v>3</v>
      </c>
      <c r="L6" s="690"/>
      <c r="M6" s="690"/>
      <c r="N6" s="684" t="s">
        <v>9</v>
      </c>
      <c r="O6" s="684"/>
      <c r="P6" s="684"/>
    </row>
    <row r="7" spans="1:16" ht="52.5" customHeight="1">
      <c r="A7" s="701"/>
      <c r="B7" s="702"/>
      <c r="C7" s="706" t="s">
        <v>294</v>
      </c>
      <c r="D7" s="691" t="s">
        <v>76</v>
      </c>
      <c r="E7" s="691"/>
      <c r="F7" s="692"/>
      <c r="G7" s="685" t="s">
        <v>295</v>
      </c>
      <c r="H7" s="685" t="s">
        <v>76</v>
      </c>
      <c r="I7" s="685"/>
      <c r="J7" s="685"/>
      <c r="K7" s="685" t="s">
        <v>32</v>
      </c>
      <c r="L7" s="685" t="s">
        <v>77</v>
      </c>
      <c r="M7" s="685"/>
      <c r="N7" s="685" t="s">
        <v>62</v>
      </c>
      <c r="O7" s="685" t="s">
        <v>77</v>
      </c>
      <c r="P7" s="685"/>
    </row>
    <row r="8" spans="1:16" ht="15.75" customHeight="1">
      <c r="A8" s="701"/>
      <c r="B8" s="702"/>
      <c r="C8" s="706"/>
      <c r="D8" s="685" t="s">
        <v>36</v>
      </c>
      <c r="E8" s="685" t="s">
        <v>37</v>
      </c>
      <c r="F8" s="685" t="s">
        <v>40</v>
      </c>
      <c r="G8" s="685"/>
      <c r="H8" s="685" t="s">
        <v>36</v>
      </c>
      <c r="I8" s="685" t="s">
        <v>37</v>
      </c>
      <c r="J8" s="685" t="s">
        <v>40</v>
      </c>
      <c r="K8" s="685"/>
      <c r="L8" s="685" t="s">
        <v>14</v>
      </c>
      <c r="M8" s="685" t="s">
        <v>13</v>
      </c>
      <c r="N8" s="685"/>
      <c r="O8" s="685" t="s">
        <v>14</v>
      </c>
      <c r="P8" s="685" t="s">
        <v>13</v>
      </c>
    </row>
    <row r="9" spans="1:16" ht="44.25" customHeight="1">
      <c r="A9" s="703"/>
      <c r="B9" s="704"/>
      <c r="C9" s="707"/>
      <c r="D9" s="685"/>
      <c r="E9" s="685"/>
      <c r="F9" s="685"/>
      <c r="G9" s="685"/>
      <c r="H9" s="685"/>
      <c r="I9" s="685"/>
      <c r="J9" s="685"/>
      <c r="K9" s="685"/>
      <c r="L9" s="685"/>
      <c r="M9" s="685"/>
      <c r="N9" s="685"/>
      <c r="O9" s="685"/>
      <c r="P9" s="685"/>
    </row>
    <row r="10" spans="1:16" ht="15" customHeight="1">
      <c r="A10" s="697" t="s">
        <v>6</v>
      </c>
      <c r="B10" s="698"/>
      <c r="C10" s="105">
        <v>1</v>
      </c>
      <c r="D10" s="105" t="s">
        <v>44</v>
      </c>
      <c r="E10" s="105" t="s">
        <v>47</v>
      </c>
      <c r="F10" s="105" t="s">
        <v>56</v>
      </c>
      <c r="G10" s="105" t="s">
        <v>57</v>
      </c>
      <c r="H10" s="105" t="s">
        <v>58</v>
      </c>
      <c r="I10" s="105" t="s">
        <v>59</v>
      </c>
      <c r="J10" s="105" t="s">
        <v>60</v>
      </c>
      <c r="K10" s="105" t="s">
        <v>61</v>
      </c>
      <c r="L10" s="105" t="s">
        <v>81</v>
      </c>
      <c r="M10" s="105" t="s">
        <v>82</v>
      </c>
      <c r="N10" s="105" t="s">
        <v>83</v>
      </c>
      <c r="O10" s="105" t="s">
        <v>84</v>
      </c>
      <c r="P10" s="105" t="s">
        <v>85</v>
      </c>
    </row>
    <row r="11" spans="1:16" ht="15" customHeight="1">
      <c r="A11" s="693" t="s">
        <v>296</v>
      </c>
      <c r="B11" s="694"/>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708" t="s">
        <v>297</v>
      </c>
      <c r="B12" s="709"/>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695" t="s">
        <v>33</v>
      </c>
      <c r="B13" s="696"/>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265</v>
      </c>
    </row>
    <row r="14" spans="1:37" ht="15" customHeight="1">
      <c r="A14" s="109" t="s">
        <v>0</v>
      </c>
      <c r="B14" s="110" t="s">
        <v>78</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266</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298</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268</v>
      </c>
    </row>
    <row r="18" spans="1:16" s="42" customFormat="1" ht="15" customHeight="1">
      <c r="A18" s="116" t="s">
        <v>47</v>
      </c>
      <c r="B18" s="117" t="s">
        <v>269</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56</v>
      </c>
      <c r="B19" s="117" t="s">
        <v>270</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57</v>
      </c>
      <c r="B20" s="117" t="s">
        <v>271</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58</v>
      </c>
      <c r="B21" s="117" t="s">
        <v>272</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273</v>
      </c>
      <c r="AK21" s="42" t="s">
        <v>274</v>
      </c>
      <c r="AL21" s="42" t="s">
        <v>275</v>
      </c>
      <c r="AM21" s="113" t="s">
        <v>276</v>
      </c>
    </row>
    <row r="22" spans="1:39" s="42" customFormat="1" ht="15" customHeight="1">
      <c r="A22" s="116" t="s">
        <v>59</v>
      </c>
      <c r="B22" s="117" t="s">
        <v>277</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278</v>
      </c>
    </row>
    <row r="23" spans="1:16" s="42" customFormat="1" ht="15" customHeight="1">
      <c r="A23" s="116" t="s">
        <v>60</v>
      </c>
      <c r="B23" s="117" t="s">
        <v>279</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61</v>
      </c>
      <c r="B24" s="117" t="s">
        <v>280</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273</v>
      </c>
    </row>
    <row r="25" spans="1:36" s="42" customFormat="1" ht="15" customHeight="1">
      <c r="A25" s="116" t="s">
        <v>81</v>
      </c>
      <c r="B25" s="117" t="s">
        <v>281</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282</v>
      </c>
    </row>
    <row r="26" spans="1:44" s="42" customFormat="1" ht="15" customHeight="1">
      <c r="A26" s="116" t="s">
        <v>82</v>
      </c>
      <c r="B26" s="117" t="s">
        <v>283</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680" t="s">
        <v>350</v>
      </c>
      <c r="C28" s="681"/>
      <c r="D28" s="681"/>
      <c r="E28" s="681"/>
      <c r="F28" s="123"/>
      <c r="G28" s="123"/>
      <c r="H28" s="123"/>
      <c r="I28" s="123"/>
      <c r="J28" s="123"/>
      <c r="K28" s="675" t="s">
        <v>351</v>
      </c>
      <c r="L28" s="675"/>
      <c r="M28" s="675"/>
      <c r="N28" s="675"/>
      <c r="O28" s="675"/>
      <c r="P28" s="675"/>
      <c r="AG28" s="73" t="s">
        <v>285</v>
      </c>
      <c r="AI28" s="113">
        <f>82/88</f>
        <v>0.9318181818181818</v>
      </c>
    </row>
    <row r="29" spans="2:16" ht="16.5">
      <c r="B29" s="681"/>
      <c r="C29" s="681"/>
      <c r="D29" s="681"/>
      <c r="E29" s="681"/>
      <c r="F29" s="123"/>
      <c r="G29" s="123"/>
      <c r="H29" s="123"/>
      <c r="I29" s="123"/>
      <c r="J29" s="123"/>
      <c r="K29" s="675"/>
      <c r="L29" s="675"/>
      <c r="M29" s="675"/>
      <c r="N29" s="675"/>
      <c r="O29" s="675"/>
      <c r="P29" s="675"/>
    </row>
    <row r="30" spans="2:16" ht="21" customHeight="1">
      <c r="B30" s="681"/>
      <c r="C30" s="681"/>
      <c r="D30" s="681"/>
      <c r="E30" s="681"/>
      <c r="F30" s="123"/>
      <c r="G30" s="123"/>
      <c r="H30" s="123"/>
      <c r="I30" s="123"/>
      <c r="J30" s="123"/>
      <c r="K30" s="675"/>
      <c r="L30" s="675"/>
      <c r="M30" s="675"/>
      <c r="N30" s="675"/>
      <c r="O30" s="675"/>
      <c r="P30" s="675"/>
    </row>
    <row r="32" spans="2:16" ht="16.5" customHeight="1">
      <c r="B32" s="683" t="s">
        <v>288</v>
      </c>
      <c r="C32" s="683"/>
      <c r="D32" s="683"/>
      <c r="E32" s="124"/>
      <c r="F32" s="124"/>
      <c r="G32" s="124"/>
      <c r="H32" s="124"/>
      <c r="I32" s="124"/>
      <c r="J32" s="124"/>
      <c r="K32" s="682" t="s">
        <v>352</v>
      </c>
      <c r="L32" s="682"/>
      <c r="M32" s="682"/>
      <c r="N32" s="682"/>
      <c r="O32" s="682"/>
      <c r="P32" s="682"/>
    </row>
    <row r="33" ht="12.75" customHeight="1"/>
    <row r="34" spans="2:5" ht="15.75">
      <c r="B34" s="125"/>
      <c r="C34" s="125"/>
      <c r="D34" s="125"/>
      <c r="E34" s="125"/>
    </row>
    <row r="35" ht="15.75" hidden="1"/>
    <row r="36" spans="2:16" ht="15.75">
      <c r="B36" s="678" t="s">
        <v>241</v>
      </c>
      <c r="C36" s="678"/>
      <c r="D36" s="678"/>
      <c r="E36" s="678"/>
      <c r="F36" s="126"/>
      <c r="G36" s="126"/>
      <c r="H36" s="126"/>
      <c r="I36" s="126"/>
      <c r="K36" s="679" t="s">
        <v>242</v>
      </c>
      <c r="L36" s="679"/>
      <c r="M36" s="679"/>
      <c r="N36" s="679"/>
      <c r="O36" s="679"/>
      <c r="P36" s="679"/>
    </row>
    <row r="39" ht="15.75">
      <c r="A39" s="128" t="s">
        <v>41</v>
      </c>
    </row>
    <row r="40" spans="1:6" ht="15.75">
      <c r="A40" s="129"/>
      <c r="B40" s="130" t="s">
        <v>48</v>
      </c>
      <c r="C40" s="130"/>
      <c r="D40" s="130"/>
      <c r="E40" s="130"/>
      <c r="F40" s="130"/>
    </row>
    <row r="41" spans="1:14" ht="15.75" customHeight="1">
      <c r="A41" s="131" t="s">
        <v>25</v>
      </c>
      <c r="B41" s="677" t="s">
        <v>51</v>
      </c>
      <c r="C41" s="677"/>
      <c r="D41" s="677"/>
      <c r="E41" s="677"/>
      <c r="F41" s="677"/>
      <c r="G41" s="131"/>
      <c r="H41" s="131"/>
      <c r="I41" s="131"/>
      <c r="J41" s="131"/>
      <c r="K41" s="131"/>
      <c r="L41" s="131"/>
      <c r="M41" s="131"/>
      <c r="N41" s="131"/>
    </row>
    <row r="42" spans="1:14" ht="15" customHeight="1">
      <c r="A42" s="131"/>
      <c r="B42" s="676" t="s">
        <v>52</v>
      </c>
      <c r="C42" s="676"/>
      <c r="D42" s="676"/>
      <c r="E42" s="676"/>
      <c r="F42" s="676"/>
      <c r="G42" s="676"/>
      <c r="H42" s="132"/>
      <c r="I42" s="132"/>
      <c r="J42" s="132"/>
      <c r="K42" s="131"/>
      <c r="L42" s="131"/>
      <c r="M42" s="131"/>
      <c r="N42" s="131"/>
    </row>
  </sheetData>
  <sheetProtection/>
  <mergeCells count="45">
    <mergeCell ref="A1:B1"/>
    <mergeCell ref="E8:E9"/>
    <mergeCell ref="C6:F6"/>
    <mergeCell ref="F8:F9"/>
    <mergeCell ref="A3:C3"/>
    <mergeCell ref="A2:C2"/>
    <mergeCell ref="D1:L3"/>
    <mergeCell ref="I8:I9"/>
    <mergeCell ref="K7:K9"/>
    <mergeCell ref="J8:J9"/>
    <mergeCell ref="A13:B13"/>
    <mergeCell ref="G7:G9"/>
    <mergeCell ref="A10:B10"/>
    <mergeCell ref="A5:B9"/>
    <mergeCell ref="C5:J5"/>
    <mergeCell ref="G6:J6"/>
    <mergeCell ref="C7:C9"/>
    <mergeCell ref="H7:J7"/>
    <mergeCell ref="D8:D9"/>
    <mergeCell ref="A12:B12"/>
    <mergeCell ref="A11:B11"/>
    <mergeCell ref="P8:P9"/>
    <mergeCell ref="O8:O9"/>
    <mergeCell ref="N7:N9"/>
    <mergeCell ref="H8:H9"/>
    <mergeCell ref="L8:L9"/>
    <mergeCell ref="M8:M9"/>
    <mergeCell ref="N6:P6"/>
    <mergeCell ref="O7:P7"/>
    <mergeCell ref="L7:M7"/>
    <mergeCell ref="M1:P1"/>
    <mergeCell ref="M2:P2"/>
    <mergeCell ref="M3:P3"/>
    <mergeCell ref="K6:M6"/>
    <mergeCell ref="D4:L4"/>
    <mergeCell ref="D7:F7"/>
    <mergeCell ref="K5:P5"/>
    <mergeCell ref="K28:P30"/>
    <mergeCell ref="B42:G42"/>
    <mergeCell ref="B41:F41"/>
    <mergeCell ref="B36:E36"/>
    <mergeCell ref="K36:P36"/>
    <mergeCell ref="B28:E30"/>
    <mergeCell ref="K32:P32"/>
    <mergeCell ref="B32:D32"/>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655" t="s">
        <v>97</v>
      </c>
      <c r="B1" s="655"/>
      <c r="C1" s="655"/>
      <c r="D1" s="734" t="s">
        <v>353</v>
      </c>
      <c r="E1" s="734"/>
      <c r="F1" s="734"/>
      <c r="G1" s="734"/>
      <c r="H1" s="734"/>
      <c r="I1" s="734"/>
      <c r="J1" s="738" t="s">
        <v>354</v>
      </c>
      <c r="K1" s="739"/>
      <c r="L1" s="739"/>
    </row>
    <row r="2" spans="1:13" ht="15.75" customHeight="1">
      <c r="A2" s="740" t="s">
        <v>299</v>
      </c>
      <c r="B2" s="740"/>
      <c r="C2" s="740"/>
      <c r="D2" s="734"/>
      <c r="E2" s="734"/>
      <c r="F2" s="734"/>
      <c r="G2" s="734"/>
      <c r="H2" s="734"/>
      <c r="I2" s="734"/>
      <c r="J2" s="739" t="s">
        <v>300</v>
      </c>
      <c r="K2" s="739"/>
      <c r="L2" s="739"/>
      <c r="M2" s="133"/>
    </row>
    <row r="3" spans="1:13" ht="15.75" customHeight="1">
      <c r="A3" s="657" t="s">
        <v>251</v>
      </c>
      <c r="B3" s="657"/>
      <c r="C3" s="657"/>
      <c r="D3" s="734"/>
      <c r="E3" s="734"/>
      <c r="F3" s="734"/>
      <c r="G3" s="734"/>
      <c r="H3" s="734"/>
      <c r="I3" s="734"/>
      <c r="J3" s="738" t="s">
        <v>355</v>
      </c>
      <c r="K3" s="738"/>
      <c r="L3" s="738"/>
      <c r="M3" s="37"/>
    </row>
    <row r="4" spans="1:13" ht="15.75" customHeight="1">
      <c r="A4" s="737" t="s">
        <v>253</v>
      </c>
      <c r="B4" s="737"/>
      <c r="C4" s="737"/>
      <c r="D4" s="736"/>
      <c r="E4" s="736"/>
      <c r="F4" s="736"/>
      <c r="G4" s="736"/>
      <c r="H4" s="736"/>
      <c r="I4" s="736"/>
      <c r="J4" s="739" t="s">
        <v>301</v>
      </c>
      <c r="K4" s="739"/>
      <c r="L4" s="739"/>
      <c r="M4" s="133"/>
    </row>
    <row r="5" spans="1:13" ht="15.75">
      <c r="A5" s="134"/>
      <c r="B5" s="134"/>
      <c r="C5" s="34"/>
      <c r="D5" s="34"/>
      <c r="E5" s="34"/>
      <c r="F5" s="34"/>
      <c r="G5" s="34"/>
      <c r="H5" s="34"/>
      <c r="I5" s="34"/>
      <c r="J5" s="735" t="s">
        <v>8</v>
      </c>
      <c r="K5" s="735"/>
      <c r="L5" s="735"/>
      <c r="M5" s="133"/>
    </row>
    <row r="6" spans="1:14" ht="15.75">
      <c r="A6" s="724" t="s">
        <v>55</v>
      </c>
      <c r="B6" s="725"/>
      <c r="C6" s="685" t="s">
        <v>302</v>
      </c>
      <c r="D6" s="743" t="s">
        <v>303</v>
      </c>
      <c r="E6" s="743"/>
      <c r="F6" s="743"/>
      <c r="G6" s="743"/>
      <c r="H6" s="743"/>
      <c r="I6" s="743"/>
      <c r="J6" s="665" t="s">
        <v>95</v>
      </c>
      <c r="K6" s="665"/>
      <c r="L6" s="665"/>
      <c r="M6" s="741" t="s">
        <v>304</v>
      </c>
      <c r="N6" s="742" t="s">
        <v>305</v>
      </c>
    </row>
    <row r="7" spans="1:14" ht="15.75" customHeight="1">
      <c r="A7" s="726"/>
      <c r="B7" s="727"/>
      <c r="C7" s="685"/>
      <c r="D7" s="743" t="s">
        <v>7</v>
      </c>
      <c r="E7" s="743"/>
      <c r="F7" s="743"/>
      <c r="G7" s="743"/>
      <c r="H7" s="743"/>
      <c r="I7" s="743"/>
      <c r="J7" s="665"/>
      <c r="K7" s="665"/>
      <c r="L7" s="665"/>
      <c r="M7" s="741"/>
      <c r="N7" s="742"/>
    </row>
    <row r="8" spans="1:14" s="73" customFormat="1" ht="31.5" customHeight="1">
      <c r="A8" s="726"/>
      <c r="B8" s="727"/>
      <c r="C8" s="685"/>
      <c r="D8" s="665" t="s">
        <v>93</v>
      </c>
      <c r="E8" s="665" t="s">
        <v>94</v>
      </c>
      <c r="F8" s="665"/>
      <c r="G8" s="665"/>
      <c r="H8" s="665"/>
      <c r="I8" s="665"/>
      <c r="J8" s="665"/>
      <c r="K8" s="665"/>
      <c r="L8" s="665"/>
      <c r="M8" s="741"/>
      <c r="N8" s="742"/>
    </row>
    <row r="9" spans="1:14" s="73" customFormat="1" ht="15.75" customHeight="1">
      <c r="A9" s="726"/>
      <c r="B9" s="727"/>
      <c r="C9" s="685"/>
      <c r="D9" s="665"/>
      <c r="E9" s="665" t="s">
        <v>96</v>
      </c>
      <c r="F9" s="665" t="s">
        <v>7</v>
      </c>
      <c r="G9" s="665"/>
      <c r="H9" s="665"/>
      <c r="I9" s="665"/>
      <c r="J9" s="665" t="s">
        <v>7</v>
      </c>
      <c r="K9" s="665"/>
      <c r="L9" s="665"/>
      <c r="M9" s="741"/>
      <c r="N9" s="742"/>
    </row>
    <row r="10" spans="1:14" s="73" customFormat="1" ht="86.25" customHeight="1">
      <c r="A10" s="728"/>
      <c r="B10" s="729"/>
      <c r="C10" s="685"/>
      <c r="D10" s="665"/>
      <c r="E10" s="665"/>
      <c r="F10" s="104" t="s">
        <v>22</v>
      </c>
      <c r="G10" s="104" t="s">
        <v>24</v>
      </c>
      <c r="H10" s="104" t="s">
        <v>16</v>
      </c>
      <c r="I10" s="104" t="s">
        <v>23</v>
      </c>
      <c r="J10" s="104" t="s">
        <v>15</v>
      </c>
      <c r="K10" s="104" t="s">
        <v>20</v>
      </c>
      <c r="L10" s="104" t="s">
        <v>21</v>
      </c>
      <c r="M10" s="741"/>
      <c r="N10" s="742"/>
    </row>
    <row r="11" spans="1:32" ht="13.5" customHeight="1">
      <c r="A11" s="718" t="s">
        <v>5</v>
      </c>
      <c r="B11" s="719"/>
      <c r="C11" s="135">
        <v>1</v>
      </c>
      <c r="D11" s="135" t="s">
        <v>44</v>
      </c>
      <c r="E11" s="135" t="s">
        <v>47</v>
      </c>
      <c r="F11" s="135" t="s">
        <v>56</v>
      </c>
      <c r="G11" s="135" t="s">
        <v>57</v>
      </c>
      <c r="H11" s="135" t="s">
        <v>58</v>
      </c>
      <c r="I11" s="135" t="s">
        <v>59</v>
      </c>
      <c r="J11" s="135" t="s">
        <v>60</v>
      </c>
      <c r="K11" s="135" t="s">
        <v>61</v>
      </c>
      <c r="L11" s="135" t="s">
        <v>81</v>
      </c>
      <c r="M11" s="136"/>
      <c r="N11" s="137"/>
      <c r="AF11" s="33" t="s">
        <v>265</v>
      </c>
    </row>
    <row r="12" spans="1:14" ht="24" customHeight="1">
      <c r="A12" s="732" t="s">
        <v>296</v>
      </c>
      <c r="B12" s="733"/>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730" t="s">
        <v>252</v>
      </c>
      <c r="B13" s="731"/>
      <c r="C13" s="139">
        <v>59</v>
      </c>
      <c r="D13" s="139">
        <v>43</v>
      </c>
      <c r="E13" s="139">
        <v>0</v>
      </c>
      <c r="F13" s="139">
        <v>5</v>
      </c>
      <c r="G13" s="139">
        <v>2</v>
      </c>
      <c r="H13" s="139">
        <v>7</v>
      </c>
      <c r="I13" s="139">
        <v>2</v>
      </c>
      <c r="J13" s="139">
        <v>10</v>
      </c>
      <c r="K13" s="139">
        <v>44</v>
      </c>
      <c r="L13" s="139">
        <v>5</v>
      </c>
      <c r="M13" s="136"/>
      <c r="N13" s="137"/>
    </row>
    <row r="14" spans="1:37" s="52" customFormat="1" ht="16.5" customHeight="1">
      <c r="A14" s="716" t="s">
        <v>30</v>
      </c>
      <c r="B14" s="717"/>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78</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266</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268</v>
      </c>
    </row>
    <row r="18" spans="1:14" s="148" customFormat="1" ht="16.5" customHeight="1">
      <c r="A18" s="147" t="s">
        <v>44</v>
      </c>
      <c r="B18" s="68" t="s">
        <v>298</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47</v>
      </c>
      <c r="B19" s="68" t="s">
        <v>269</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56</v>
      </c>
      <c r="B20" s="68" t="s">
        <v>270</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57</v>
      </c>
      <c r="B21" s="68" t="s">
        <v>271</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273</v>
      </c>
      <c r="AK21" s="148" t="s">
        <v>274</v>
      </c>
      <c r="AL21" s="148" t="s">
        <v>275</v>
      </c>
      <c r="AM21" s="63" t="s">
        <v>276</v>
      </c>
    </row>
    <row r="22" spans="1:39" s="148" customFormat="1" ht="16.5" customHeight="1">
      <c r="A22" s="147" t="s">
        <v>58</v>
      </c>
      <c r="B22" s="68" t="s">
        <v>272</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278</v>
      </c>
    </row>
    <row r="23" spans="1:14" s="148" customFormat="1" ht="16.5" customHeight="1">
      <c r="A23" s="147" t="s">
        <v>59</v>
      </c>
      <c r="B23" s="68" t="s">
        <v>277</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60</v>
      </c>
      <c r="B24" s="68" t="s">
        <v>279</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273</v>
      </c>
    </row>
    <row r="25" spans="1:36" s="148" customFormat="1" ht="16.5" customHeight="1">
      <c r="A25" s="147" t="s">
        <v>61</v>
      </c>
      <c r="B25" s="68" t="s">
        <v>280</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282</v>
      </c>
    </row>
    <row r="26" spans="1:44" s="70" customFormat="1" ht="16.5" customHeight="1">
      <c r="A26" s="151" t="s">
        <v>81</v>
      </c>
      <c r="B26" s="68" t="s">
        <v>281</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82</v>
      </c>
      <c r="B27" s="68" t="s">
        <v>283</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285</v>
      </c>
      <c r="AI28" s="157">
        <f>82/88</f>
        <v>0.9318181818181818</v>
      </c>
    </row>
    <row r="29" spans="1:13" ht="16.5" customHeight="1">
      <c r="A29" s="650" t="s">
        <v>356</v>
      </c>
      <c r="B29" s="720"/>
      <c r="C29" s="720"/>
      <c r="D29" s="720"/>
      <c r="E29" s="158"/>
      <c r="F29" s="158"/>
      <c r="G29" s="158"/>
      <c r="H29" s="722" t="s">
        <v>306</v>
      </c>
      <c r="I29" s="722"/>
      <c r="J29" s="722"/>
      <c r="K29" s="722"/>
      <c r="L29" s="722"/>
      <c r="M29" s="159"/>
    </row>
    <row r="30" spans="1:12" ht="18.75">
      <c r="A30" s="720"/>
      <c r="B30" s="720"/>
      <c r="C30" s="720"/>
      <c r="D30" s="720"/>
      <c r="E30" s="158"/>
      <c r="F30" s="158"/>
      <c r="G30" s="158"/>
      <c r="H30" s="723" t="s">
        <v>307</v>
      </c>
      <c r="I30" s="723"/>
      <c r="J30" s="723"/>
      <c r="K30" s="723"/>
      <c r="L30" s="723"/>
    </row>
    <row r="31" spans="1:12" s="32" customFormat="1" ht="16.5" customHeight="1">
      <c r="A31" s="671"/>
      <c r="B31" s="671"/>
      <c r="C31" s="671"/>
      <c r="D31" s="671"/>
      <c r="E31" s="160"/>
      <c r="F31" s="160"/>
      <c r="G31" s="160"/>
      <c r="H31" s="672"/>
      <c r="I31" s="672"/>
      <c r="J31" s="672"/>
      <c r="K31" s="672"/>
      <c r="L31" s="672"/>
    </row>
    <row r="32" spans="1:12" ht="18.75">
      <c r="A32" s="89"/>
      <c r="B32" s="671" t="s">
        <v>288</v>
      </c>
      <c r="C32" s="671"/>
      <c r="D32" s="671"/>
      <c r="E32" s="160"/>
      <c r="F32" s="160"/>
      <c r="G32" s="160"/>
      <c r="H32" s="160"/>
      <c r="I32" s="721" t="s">
        <v>288</v>
      </c>
      <c r="J32" s="721"/>
      <c r="K32" s="721"/>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633" t="s">
        <v>241</v>
      </c>
      <c r="B37" s="633"/>
      <c r="C37" s="633"/>
      <c r="D37" s="633"/>
      <c r="E37" s="91"/>
      <c r="F37" s="91"/>
      <c r="G37" s="91"/>
      <c r="H37" s="634" t="s">
        <v>241</v>
      </c>
      <c r="I37" s="634"/>
      <c r="J37" s="634"/>
      <c r="K37" s="634"/>
      <c r="L37" s="634"/>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715" t="s">
        <v>48</v>
      </c>
      <c r="C40" s="715"/>
      <c r="D40" s="715"/>
      <c r="E40" s="715"/>
      <c r="F40" s="715"/>
      <c r="G40" s="715"/>
      <c r="H40" s="715"/>
      <c r="I40" s="715"/>
      <c r="J40" s="715"/>
      <c r="K40" s="715"/>
      <c r="L40" s="715"/>
    </row>
    <row r="41" spans="1:12" ht="16.5" customHeight="1">
      <c r="A41" s="165"/>
      <c r="B41" s="714" t="s">
        <v>50</v>
      </c>
      <c r="C41" s="714"/>
      <c r="D41" s="714"/>
      <c r="E41" s="714"/>
      <c r="F41" s="714"/>
      <c r="G41" s="714"/>
      <c r="H41" s="714"/>
      <c r="I41" s="714"/>
      <c r="J41" s="714"/>
      <c r="K41" s="714"/>
      <c r="L41" s="714"/>
    </row>
    <row r="42" ht="15.75">
      <c r="B42" s="38" t="s">
        <v>49</v>
      </c>
    </row>
  </sheetData>
  <sheetProtection/>
  <mergeCells count="38">
    <mergeCell ref="A1:C1"/>
    <mergeCell ref="M6:M10"/>
    <mergeCell ref="N6:N10"/>
    <mergeCell ref="C6:C10"/>
    <mergeCell ref="E9:E10"/>
    <mergeCell ref="D6:I6"/>
    <mergeCell ref="E8:I8"/>
    <mergeCell ref="D8:D10"/>
    <mergeCell ref="F9:I9"/>
    <mergeCell ref="D7:I7"/>
    <mergeCell ref="A3:C3"/>
    <mergeCell ref="D1:I3"/>
    <mergeCell ref="J5:L5"/>
    <mergeCell ref="D4:I4"/>
    <mergeCell ref="A4:C4"/>
    <mergeCell ref="J1:L1"/>
    <mergeCell ref="J2:L2"/>
    <mergeCell ref="J3:L3"/>
    <mergeCell ref="J4:L4"/>
    <mergeCell ref="A2:C2"/>
    <mergeCell ref="H29:L29"/>
    <mergeCell ref="H30:L30"/>
    <mergeCell ref="H31:L31"/>
    <mergeCell ref="A6:B10"/>
    <mergeCell ref="A13:B13"/>
    <mergeCell ref="A12:B12"/>
    <mergeCell ref="J9:L9"/>
    <mergeCell ref="J6:L8"/>
    <mergeCell ref="B41:L41"/>
    <mergeCell ref="B40:L40"/>
    <mergeCell ref="A14:B14"/>
    <mergeCell ref="A11:B11"/>
    <mergeCell ref="A29:D30"/>
    <mergeCell ref="H37:L37"/>
    <mergeCell ref="A37:D37"/>
    <mergeCell ref="B32:D32"/>
    <mergeCell ref="I32:K32"/>
    <mergeCell ref="A31:D31"/>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778" t="s">
        <v>129</v>
      </c>
      <c r="B1" s="778"/>
      <c r="C1" s="778"/>
      <c r="D1" s="774" t="s">
        <v>310</v>
      </c>
      <c r="E1" s="775"/>
      <c r="F1" s="775"/>
      <c r="G1" s="775"/>
      <c r="H1" s="775"/>
      <c r="I1" s="775"/>
      <c r="J1" s="775"/>
      <c r="K1" s="775"/>
      <c r="L1" s="775"/>
      <c r="M1" s="775"/>
      <c r="N1" s="775"/>
      <c r="O1" s="212"/>
      <c r="P1" s="169" t="s">
        <v>360</v>
      </c>
      <c r="Q1" s="168"/>
      <c r="R1" s="168"/>
      <c r="S1" s="168"/>
      <c r="T1" s="168"/>
      <c r="U1" s="212"/>
    </row>
    <row r="2" spans="1:21" ht="16.5" customHeight="1">
      <c r="A2" s="776" t="s">
        <v>311</v>
      </c>
      <c r="B2" s="776"/>
      <c r="C2" s="776"/>
      <c r="D2" s="775"/>
      <c r="E2" s="775"/>
      <c r="F2" s="775"/>
      <c r="G2" s="775"/>
      <c r="H2" s="775"/>
      <c r="I2" s="775"/>
      <c r="J2" s="775"/>
      <c r="K2" s="775"/>
      <c r="L2" s="775"/>
      <c r="M2" s="775"/>
      <c r="N2" s="775"/>
      <c r="O2" s="213"/>
      <c r="P2" s="767" t="s">
        <v>312</v>
      </c>
      <c r="Q2" s="767"/>
      <c r="R2" s="767"/>
      <c r="S2" s="767"/>
      <c r="T2" s="767"/>
      <c r="U2" s="213"/>
    </row>
    <row r="3" spans="1:21" ht="16.5" customHeight="1">
      <c r="A3" s="747" t="s">
        <v>313</v>
      </c>
      <c r="B3" s="747"/>
      <c r="C3" s="747"/>
      <c r="D3" s="779" t="s">
        <v>314</v>
      </c>
      <c r="E3" s="779"/>
      <c r="F3" s="779"/>
      <c r="G3" s="779"/>
      <c r="H3" s="779"/>
      <c r="I3" s="779"/>
      <c r="J3" s="779"/>
      <c r="K3" s="779"/>
      <c r="L3" s="779"/>
      <c r="M3" s="779"/>
      <c r="N3" s="779"/>
      <c r="O3" s="213"/>
      <c r="P3" s="173" t="s">
        <v>359</v>
      </c>
      <c r="Q3" s="213"/>
      <c r="R3" s="213"/>
      <c r="S3" s="213"/>
      <c r="T3" s="213"/>
      <c r="U3" s="213"/>
    </row>
    <row r="4" spans="1:21" ht="16.5" customHeight="1">
      <c r="A4" s="780" t="s">
        <v>253</v>
      </c>
      <c r="B4" s="780"/>
      <c r="C4" s="780"/>
      <c r="D4" s="756"/>
      <c r="E4" s="756"/>
      <c r="F4" s="756"/>
      <c r="G4" s="756"/>
      <c r="H4" s="756"/>
      <c r="I4" s="756"/>
      <c r="J4" s="756"/>
      <c r="K4" s="756"/>
      <c r="L4" s="756"/>
      <c r="M4" s="756"/>
      <c r="N4" s="756"/>
      <c r="O4" s="213"/>
      <c r="P4" s="172" t="s">
        <v>292</v>
      </c>
      <c r="Q4" s="213"/>
      <c r="R4" s="213"/>
      <c r="S4" s="213"/>
      <c r="T4" s="213"/>
      <c r="U4" s="213"/>
    </row>
    <row r="5" spans="12:21" ht="16.5" customHeight="1">
      <c r="L5" s="214"/>
      <c r="M5" s="214"/>
      <c r="N5" s="214"/>
      <c r="O5" s="176"/>
      <c r="P5" s="175" t="s">
        <v>315</v>
      </c>
      <c r="Q5" s="176"/>
      <c r="R5" s="176"/>
      <c r="S5" s="176"/>
      <c r="T5" s="176"/>
      <c r="U5" s="172"/>
    </row>
    <row r="6" spans="1:21" s="217" customFormat="1" ht="15.75" customHeight="1">
      <c r="A6" s="768" t="s">
        <v>55</v>
      </c>
      <c r="B6" s="769"/>
      <c r="C6" s="752" t="s">
        <v>130</v>
      </c>
      <c r="D6" s="777" t="s">
        <v>131</v>
      </c>
      <c r="E6" s="751"/>
      <c r="F6" s="751"/>
      <c r="G6" s="751"/>
      <c r="H6" s="751"/>
      <c r="I6" s="751"/>
      <c r="J6" s="751"/>
      <c r="K6" s="751"/>
      <c r="L6" s="751"/>
      <c r="M6" s="751"/>
      <c r="N6" s="751"/>
      <c r="O6" s="751"/>
      <c r="P6" s="751"/>
      <c r="Q6" s="751"/>
      <c r="R6" s="751"/>
      <c r="S6" s="751"/>
      <c r="T6" s="752" t="s">
        <v>132</v>
      </c>
      <c r="U6" s="216"/>
    </row>
    <row r="7" spans="1:20" s="218" customFormat="1" ht="12.75" customHeight="1">
      <c r="A7" s="770"/>
      <c r="B7" s="771"/>
      <c r="C7" s="752"/>
      <c r="D7" s="753" t="s">
        <v>127</v>
      </c>
      <c r="E7" s="751" t="s">
        <v>7</v>
      </c>
      <c r="F7" s="751"/>
      <c r="G7" s="751"/>
      <c r="H7" s="751"/>
      <c r="I7" s="751"/>
      <c r="J7" s="751"/>
      <c r="K7" s="751"/>
      <c r="L7" s="751"/>
      <c r="M7" s="751"/>
      <c r="N7" s="751"/>
      <c r="O7" s="751"/>
      <c r="P7" s="751"/>
      <c r="Q7" s="751"/>
      <c r="R7" s="751"/>
      <c r="S7" s="751"/>
      <c r="T7" s="752"/>
    </row>
    <row r="8" spans="1:21" s="218" customFormat="1" ht="43.5" customHeight="1">
      <c r="A8" s="770"/>
      <c r="B8" s="771"/>
      <c r="C8" s="752"/>
      <c r="D8" s="754"/>
      <c r="E8" s="784" t="s">
        <v>133</v>
      </c>
      <c r="F8" s="752"/>
      <c r="G8" s="752"/>
      <c r="H8" s="752" t="s">
        <v>134</v>
      </c>
      <c r="I8" s="752"/>
      <c r="J8" s="752"/>
      <c r="K8" s="752" t="s">
        <v>135</v>
      </c>
      <c r="L8" s="752"/>
      <c r="M8" s="752" t="s">
        <v>136</v>
      </c>
      <c r="N8" s="752"/>
      <c r="O8" s="752"/>
      <c r="P8" s="752" t="s">
        <v>137</v>
      </c>
      <c r="Q8" s="752" t="s">
        <v>138</v>
      </c>
      <c r="R8" s="752" t="s">
        <v>139</v>
      </c>
      <c r="S8" s="781" t="s">
        <v>140</v>
      </c>
      <c r="T8" s="752"/>
      <c r="U8" s="744" t="s">
        <v>316</v>
      </c>
    </row>
    <row r="9" spans="1:21" s="218" customFormat="1" ht="44.25" customHeight="1">
      <c r="A9" s="772"/>
      <c r="B9" s="773"/>
      <c r="C9" s="752"/>
      <c r="D9" s="755"/>
      <c r="E9" s="219" t="s">
        <v>141</v>
      </c>
      <c r="F9" s="215" t="s">
        <v>142</v>
      </c>
      <c r="G9" s="215" t="s">
        <v>317</v>
      </c>
      <c r="H9" s="215" t="s">
        <v>143</v>
      </c>
      <c r="I9" s="215" t="s">
        <v>144</v>
      </c>
      <c r="J9" s="215" t="s">
        <v>145</v>
      </c>
      <c r="K9" s="215" t="s">
        <v>142</v>
      </c>
      <c r="L9" s="215" t="s">
        <v>146</v>
      </c>
      <c r="M9" s="215" t="s">
        <v>147</v>
      </c>
      <c r="N9" s="215" t="s">
        <v>148</v>
      </c>
      <c r="O9" s="215" t="s">
        <v>318</v>
      </c>
      <c r="P9" s="752"/>
      <c r="Q9" s="752"/>
      <c r="R9" s="752"/>
      <c r="S9" s="781"/>
      <c r="T9" s="752"/>
      <c r="U9" s="745"/>
    </row>
    <row r="10" spans="1:21" s="222" customFormat="1" ht="15.75" customHeight="1">
      <c r="A10" s="748" t="s">
        <v>6</v>
      </c>
      <c r="B10" s="749"/>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745"/>
    </row>
    <row r="11" spans="1:21" s="222" customFormat="1" ht="15.75" customHeight="1">
      <c r="A11" s="782" t="s">
        <v>296</v>
      </c>
      <c r="B11" s="783"/>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746"/>
    </row>
    <row r="12" spans="1:21" s="222" customFormat="1" ht="15.75" customHeight="1">
      <c r="A12" s="758" t="s">
        <v>297</v>
      </c>
      <c r="B12" s="759"/>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764" t="s">
        <v>30</v>
      </c>
      <c r="B13" s="765"/>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78</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266</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298</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47</v>
      </c>
      <c r="B18" s="68" t="s">
        <v>269</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56</v>
      </c>
      <c r="B19" s="68" t="s">
        <v>270</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57</v>
      </c>
      <c r="B20" s="68" t="s">
        <v>271</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58</v>
      </c>
      <c r="B21" s="68" t="s">
        <v>272</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59</v>
      </c>
      <c r="B22" s="68" t="s">
        <v>277</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60</v>
      </c>
      <c r="B23" s="68" t="s">
        <v>279</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61</v>
      </c>
      <c r="B24" s="68" t="s">
        <v>280</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81</v>
      </c>
      <c r="B25" s="68" t="s">
        <v>281</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82</v>
      </c>
      <c r="B26" s="68" t="s">
        <v>283</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750" t="s">
        <v>284</v>
      </c>
      <c r="C28" s="750"/>
      <c r="D28" s="750"/>
      <c r="E28" s="750"/>
      <c r="F28" s="181"/>
      <c r="G28" s="181"/>
      <c r="H28" s="181"/>
      <c r="I28" s="181"/>
      <c r="J28" s="181"/>
      <c r="K28" s="181" t="s">
        <v>149</v>
      </c>
      <c r="L28" s="182"/>
      <c r="M28" s="757" t="s">
        <v>319</v>
      </c>
      <c r="N28" s="757"/>
      <c r="O28" s="757"/>
      <c r="P28" s="757"/>
      <c r="Q28" s="757"/>
      <c r="R28" s="757"/>
      <c r="S28" s="757"/>
      <c r="T28" s="757"/>
    </row>
    <row r="29" spans="1:20" s="233" customFormat="1" ht="18.75" customHeight="1">
      <c r="A29" s="232"/>
      <c r="B29" s="763" t="s">
        <v>150</v>
      </c>
      <c r="C29" s="763"/>
      <c r="D29" s="763"/>
      <c r="E29" s="234"/>
      <c r="F29" s="183"/>
      <c r="G29" s="183"/>
      <c r="H29" s="183"/>
      <c r="I29" s="183"/>
      <c r="J29" s="183"/>
      <c r="K29" s="183"/>
      <c r="L29" s="182"/>
      <c r="M29" s="766" t="s">
        <v>308</v>
      </c>
      <c r="N29" s="766"/>
      <c r="O29" s="766"/>
      <c r="P29" s="766"/>
      <c r="Q29" s="766"/>
      <c r="R29" s="766"/>
      <c r="S29" s="766"/>
      <c r="T29" s="766"/>
    </row>
    <row r="30" spans="1:20" s="233" customFormat="1" ht="18.75">
      <c r="A30" s="184"/>
      <c r="B30" s="760"/>
      <c r="C30" s="760"/>
      <c r="D30" s="760"/>
      <c r="E30" s="186"/>
      <c r="F30" s="186"/>
      <c r="G30" s="186"/>
      <c r="H30" s="186"/>
      <c r="I30" s="186"/>
      <c r="J30" s="186"/>
      <c r="K30" s="186"/>
      <c r="L30" s="186"/>
      <c r="M30" s="761"/>
      <c r="N30" s="761"/>
      <c r="O30" s="761"/>
      <c r="P30" s="761"/>
      <c r="Q30" s="761"/>
      <c r="R30" s="761"/>
      <c r="S30" s="761"/>
      <c r="T30" s="761"/>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152</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153</v>
      </c>
      <c r="C34" s="186"/>
      <c r="D34" s="186"/>
      <c r="E34" s="186"/>
      <c r="F34" s="186"/>
      <c r="G34" s="186"/>
      <c r="H34" s="186"/>
      <c r="I34" s="186"/>
      <c r="J34" s="186"/>
      <c r="K34" s="186"/>
      <c r="L34" s="186"/>
      <c r="M34" s="186"/>
      <c r="N34" s="186"/>
      <c r="O34" s="186"/>
      <c r="P34" s="186"/>
      <c r="Q34" s="186"/>
      <c r="R34" s="186"/>
      <c r="S34" s="186"/>
      <c r="T34" s="186"/>
    </row>
    <row r="35" spans="2:20" ht="18.75" hidden="1">
      <c r="B35" s="236" t="s">
        <v>154</v>
      </c>
      <c r="C35" s="186"/>
      <c r="D35" s="186"/>
      <c r="E35" s="186"/>
      <c r="F35" s="186"/>
      <c r="G35" s="186"/>
      <c r="H35" s="186"/>
      <c r="I35" s="186"/>
      <c r="J35" s="186"/>
      <c r="K35" s="186"/>
      <c r="L35" s="186"/>
      <c r="M35" s="186"/>
      <c r="N35" s="186"/>
      <c r="O35" s="186"/>
      <c r="P35" s="186"/>
      <c r="Q35" s="186"/>
      <c r="R35" s="186"/>
      <c r="S35" s="186"/>
      <c r="T35" s="186"/>
    </row>
    <row r="36" spans="2:20" s="211" customFormat="1" ht="18.75">
      <c r="B36" s="762" t="s">
        <v>288</v>
      </c>
      <c r="C36" s="762"/>
      <c r="D36" s="762"/>
      <c r="E36" s="236"/>
      <c r="F36" s="236"/>
      <c r="G36" s="236"/>
      <c r="H36" s="236"/>
      <c r="I36" s="236"/>
      <c r="J36" s="236"/>
      <c r="K36" s="236"/>
      <c r="L36" s="236"/>
      <c r="M36" s="236"/>
      <c r="N36" s="762" t="s">
        <v>288</v>
      </c>
      <c r="O36" s="762"/>
      <c r="P36" s="762"/>
      <c r="Q36" s="762"/>
      <c r="R36" s="762"/>
      <c r="S36" s="762"/>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633" t="s">
        <v>241</v>
      </c>
      <c r="C38" s="633"/>
      <c r="D38" s="633"/>
      <c r="E38" s="210"/>
      <c r="F38" s="210"/>
      <c r="G38" s="210"/>
      <c r="H38" s="210"/>
      <c r="I38" s="182"/>
      <c r="J38" s="182"/>
      <c r="K38" s="182"/>
      <c r="L38" s="182"/>
      <c r="M38" s="634" t="s">
        <v>242</v>
      </c>
      <c r="N38" s="634"/>
      <c r="O38" s="634"/>
      <c r="P38" s="634"/>
      <c r="Q38" s="634"/>
      <c r="R38" s="634"/>
      <c r="S38" s="634"/>
      <c r="T38" s="634"/>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C6:C9"/>
    <mergeCell ref="A11:B11"/>
    <mergeCell ref="Q8:Q9"/>
    <mergeCell ref="M8:O8"/>
    <mergeCell ref="P8:P9"/>
    <mergeCell ref="E8:G8"/>
    <mergeCell ref="K8:L8"/>
    <mergeCell ref="P2:T2"/>
    <mergeCell ref="A6:B9"/>
    <mergeCell ref="D1:N2"/>
    <mergeCell ref="A2:C2"/>
    <mergeCell ref="D6:S6"/>
    <mergeCell ref="A1:C1"/>
    <mergeCell ref="D3:N3"/>
    <mergeCell ref="A4:C4"/>
    <mergeCell ref="S8:S9"/>
    <mergeCell ref="H8:J8"/>
    <mergeCell ref="A12:B12"/>
    <mergeCell ref="B38:D38"/>
    <mergeCell ref="M38:T38"/>
    <mergeCell ref="B30:D30"/>
    <mergeCell ref="M30:T30"/>
    <mergeCell ref="B36:D36"/>
    <mergeCell ref="N36:S36"/>
    <mergeCell ref="B29:D29"/>
    <mergeCell ref="A13:B13"/>
    <mergeCell ref="M29:T29"/>
    <mergeCell ref="U8:U11"/>
    <mergeCell ref="A3:C3"/>
    <mergeCell ref="A10:B10"/>
    <mergeCell ref="B28:E28"/>
    <mergeCell ref="E7:S7"/>
    <mergeCell ref="R8:R9"/>
    <mergeCell ref="D7:D9"/>
    <mergeCell ref="D4:N4"/>
    <mergeCell ref="M28:T28"/>
    <mergeCell ref="T6:T9"/>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818" t="s">
        <v>155</v>
      </c>
      <c r="B1" s="818"/>
      <c r="C1" s="818"/>
      <c r="D1" s="238"/>
      <c r="E1" s="823" t="s">
        <v>156</v>
      </c>
      <c r="F1" s="823"/>
      <c r="G1" s="823"/>
      <c r="H1" s="823"/>
      <c r="I1" s="823"/>
      <c r="J1" s="823"/>
      <c r="K1" s="823"/>
      <c r="L1" s="823"/>
      <c r="M1" s="823"/>
      <c r="N1" s="823"/>
      <c r="O1" s="191"/>
      <c r="P1" s="825" t="s">
        <v>358</v>
      </c>
      <c r="Q1" s="825"/>
      <c r="R1" s="825"/>
      <c r="S1" s="825"/>
      <c r="T1" s="825"/>
    </row>
    <row r="2" spans="1:20" ht="15.75" customHeight="1">
      <c r="A2" s="819" t="s">
        <v>320</v>
      </c>
      <c r="B2" s="819"/>
      <c r="C2" s="819"/>
      <c r="D2" s="819"/>
      <c r="E2" s="821" t="s">
        <v>157</v>
      </c>
      <c r="F2" s="821"/>
      <c r="G2" s="821"/>
      <c r="H2" s="821"/>
      <c r="I2" s="821"/>
      <c r="J2" s="821"/>
      <c r="K2" s="821"/>
      <c r="L2" s="821"/>
      <c r="M2" s="821"/>
      <c r="N2" s="821"/>
      <c r="O2" s="194"/>
      <c r="P2" s="826" t="s">
        <v>300</v>
      </c>
      <c r="Q2" s="826"/>
      <c r="R2" s="826"/>
      <c r="S2" s="826"/>
      <c r="T2" s="826"/>
    </row>
    <row r="3" spans="1:20" ht="17.25">
      <c r="A3" s="819" t="s">
        <v>251</v>
      </c>
      <c r="B3" s="819"/>
      <c r="C3" s="819"/>
      <c r="D3" s="239"/>
      <c r="E3" s="824" t="s">
        <v>252</v>
      </c>
      <c r="F3" s="824"/>
      <c r="G3" s="824"/>
      <c r="H3" s="824"/>
      <c r="I3" s="824"/>
      <c r="J3" s="824"/>
      <c r="K3" s="824"/>
      <c r="L3" s="824"/>
      <c r="M3" s="824"/>
      <c r="N3" s="824"/>
      <c r="O3" s="194"/>
      <c r="P3" s="827" t="s">
        <v>359</v>
      </c>
      <c r="Q3" s="827"/>
      <c r="R3" s="827"/>
      <c r="S3" s="827"/>
      <c r="T3" s="827"/>
    </row>
    <row r="4" spans="1:20" ht="18.75" customHeight="1">
      <c r="A4" s="820" t="s">
        <v>253</v>
      </c>
      <c r="B4" s="820"/>
      <c r="C4" s="820"/>
      <c r="D4" s="822"/>
      <c r="E4" s="822"/>
      <c r="F4" s="822"/>
      <c r="G4" s="822"/>
      <c r="H4" s="822"/>
      <c r="I4" s="822"/>
      <c r="J4" s="822"/>
      <c r="K4" s="822"/>
      <c r="L4" s="822"/>
      <c r="M4" s="822"/>
      <c r="N4" s="822"/>
      <c r="O4" s="195"/>
      <c r="P4" s="826" t="s">
        <v>292</v>
      </c>
      <c r="Q4" s="827"/>
      <c r="R4" s="827"/>
      <c r="S4" s="827"/>
      <c r="T4" s="827"/>
    </row>
    <row r="5" spans="1:23" ht="15">
      <c r="A5" s="208"/>
      <c r="B5" s="208"/>
      <c r="C5" s="240"/>
      <c r="D5" s="240"/>
      <c r="E5" s="208"/>
      <c r="F5" s="208"/>
      <c r="G5" s="208"/>
      <c r="H5" s="208"/>
      <c r="I5" s="208"/>
      <c r="J5" s="208"/>
      <c r="K5" s="208"/>
      <c r="L5" s="208"/>
      <c r="P5" s="799" t="s">
        <v>315</v>
      </c>
      <c r="Q5" s="799"/>
      <c r="R5" s="799"/>
      <c r="S5" s="799"/>
      <c r="T5" s="799"/>
      <c r="U5" s="241"/>
      <c r="V5" s="241"/>
      <c r="W5" s="241"/>
    </row>
    <row r="6" spans="1:23" ht="29.25" customHeight="1">
      <c r="A6" s="768" t="s">
        <v>55</v>
      </c>
      <c r="B6" s="791"/>
      <c r="C6" s="785" t="s">
        <v>2</v>
      </c>
      <c r="D6" s="800" t="s">
        <v>158</v>
      </c>
      <c r="E6" s="795"/>
      <c r="F6" s="795"/>
      <c r="G6" s="795"/>
      <c r="H6" s="795"/>
      <c r="I6" s="795"/>
      <c r="J6" s="796"/>
      <c r="K6" s="805" t="s">
        <v>159</v>
      </c>
      <c r="L6" s="806"/>
      <c r="M6" s="806"/>
      <c r="N6" s="806"/>
      <c r="O6" s="806"/>
      <c r="P6" s="806"/>
      <c r="Q6" s="806"/>
      <c r="R6" s="806"/>
      <c r="S6" s="806"/>
      <c r="T6" s="807"/>
      <c r="U6" s="242"/>
      <c r="V6" s="243"/>
      <c r="W6" s="243"/>
    </row>
    <row r="7" spans="1:20" ht="19.5" customHeight="1">
      <c r="A7" s="770"/>
      <c r="B7" s="792"/>
      <c r="C7" s="786"/>
      <c r="D7" s="795" t="s">
        <v>7</v>
      </c>
      <c r="E7" s="795"/>
      <c r="F7" s="795"/>
      <c r="G7" s="795"/>
      <c r="H7" s="795"/>
      <c r="I7" s="795"/>
      <c r="J7" s="796"/>
      <c r="K7" s="808"/>
      <c r="L7" s="809"/>
      <c r="M7" s="809"/>
      <c r="N7" s="809"/>
      <c r="O7" s="809"/>
      <c r="P7" s="809"/>
      <c r="Q7" s="809"/>
      <c r="R7" s="809"/>
      <c r="S7" s="809"/>
      <c r="T7" s="810"/>
    </row>
    <row r="8" spans="1:20" ht="33" customHeight="1">
      <c r="A8" s="770"/>
      <c r="B8" s="792"/>
      <c r="C8" s="786"/>
      <c r="D8" s="794" t="s">
        <v>160</v>
      </c>
      <c r="E8" s="797"/>
      <c r="F8" s="788" t="s">
        <v>161</v>
      </c>
      <c r="G8" s="797"/>
      <c r="H8" s="788" t="s">
        <v>162</v>
      </c>
      <c r="I8" s="797"/>
      <c r="J8" s="788" t="s">
        <v>163</v>
      </c>
      <c r="K8" s="803" t="s">
        <v>164</v>
      </c>
      <c r="L8" s="803"/>
      <c r="M8" s="803"/>
      <c r="N8" s="803" t="s">
        <v>165</v>
      </c>
      <c r="O8" s="803"/>
      <c r="P8" s="803"/>
      <c r="Q8" s="788" t="s">
        <v>166</v>
      </c>
      <c r="R8" s="804" t="s">
        <v>167</v>
      </c>
      <c r="S8" s="804" t="s">
        <v>168</v>
      </c>
      <c r="T8" s="788" t="s">
        <v>169</v>
      </c>
    </row>
    <row r="9" spans="1:20" ht="18.75" customHeight="1">
      <c r="A9" s="770"/>
      <c r="B9" s="792"/>
      <c r="C9" s="786"/>
      <c r="D9" s="794" t="s">
        <v>170</v>
      </c>
      <c r="E9" s="788" t="s">
        <v>171</v>
      </c>
      <c r="F9" s="788" t="s">
        <v>170</v>
      </c>
      <c r="G9" s="788" t="s">
        <v>171</v>
      </c>
      <c r="H9" s="788" t="s">
        <v>170</v>
      </c>
      <c r="I9" s="788" t="s">
        <v>172</v>
      </c>
      <c r="J9" s="788"/>
      <c r="K9" s="803"/>
      <c r="L9" s="803"/>
      <c r="M9" s="803"/>
      <c r="N9" s="803"/>
      <c r="O9" s="803"/>
      <c r="P9" s="803"/>
      <c r="Q9" s="788"/>
      <c r="R9" s="804"/>
      <c r="S9" s="804"/>
      <c r="T9" s="788"/>
    </row>
    <row r="10" spans="1:20" ht="23.25" customHeight="1">
      <c r="A10" s="772"/>
      <c r="B10" s="793"/>
      <c r="C10" s="787"/>
      <c r="D10" s="794"/>
      <c r="E10" s="788"/>
      <c r="F10" s="788"/>
      <c r="G10" s="788"/>
      <c r="H10" s="788"/>
      <c r="I10" s="788"/>
      <c r="J10" s="788"/>
      <c r="K10" s="244" t="s">
        <v>173</v>
      </c>
      <c r="L10" s="244" t="s">
        <v>148</v>
      </c>
      <c r="M10" s="244" t="s">
        <v>174</v>
      </c>
      <c r="N10" s="244" t="s">
        <v>173</v>
      </c>
      <c r="O10" s="244" t="s">
        <v>175</v>
      </c>
      <c r="P10" s="244" t="s">
        <v>176</v>
      </c>
      <c r="Q10" s="788"/>
      <c r="R10" s="804"/>
      <c r="S10" s="804"/>
      <c r="T10" s="788"/>
    </row>
    <row r="11" spans="1:32" s="201" customFormat="1" ht="17.25" customHeight="1">
      <c r="A11" s="789" t="s">
        <v>6</v>
      </c>
      <c r="B11" s="790"/>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801" t="s">
        <v>321</v>
      </c>
      <c r="B12" s="802"/>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811" t="s">
        <v>297</v>
      </c>
      <c r="B13" s="812"/>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798" t="s">
        <v>177</v>
      </c>
      <c r="B14" s="794"/>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78</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266</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298</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269</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270</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271</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272</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277</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279</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280</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281</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283</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285</v>
      </c>
      <c r="AI28" s="190">
        <f>82/88</f>
        <v>0.9318181818181818</v>
      </c>
    </row>
    <row r="29" spans="1:20" ht="15.75" customHeight="1">
      <c r="A29" s="202"/>
      <c r="B29" s="814" t="s">
        <v>309</v>
      </c>
      <c r="C29" s="814"/>
      <c r="D29" s="814"/>
      <c r="E29" s="814"/>
      <c r="F29" s="258"/>
      <c r="G29" s="258"/>
      <c r="H29" s="258"/>
      <c r="I29" s="258"/>
      <c r="J29" s="258"/>
      <c r="K29" s="258"/>
      <c r="L29" s="206"/>
      <c r="M29" s="813" t="s">
        <v>322</v>
      </c>
      <c r="N29" s="813"/>
      <c r="O29" s="813"/>
      <c r="P29" s="813"/>
      <c r="Q29" s="813"/>
      <c r="R29" s="813"/>
      <c r="S29" s="813"/>
      <c r="T29" s="813"/>
    </row>
    <row r="30" spans="1:20" ht="18.75" customHeight="1">
      <c r="A30" s="202"/>
      <c r="B30" s="815" t="s">
        <v>150</v>
      </c>
      <c r="C30" s="815"/>
      <c r="D30" s="815"/>
      <c r="E30" s="815"/>
      <c r="F30" s="205"/>
      <c r="G30" s="205"/>
      <c r="H30" s="205"/>
      <c r="I30" s="205"/>
      <c r="J30" s="205"/>
      <c r="K30" s="205"/>
      <c r="L30" s="206"/>
      <c r="M30" s="816" t="s">
        <v>151</v>
      </c>
      <c r="N30" s="816"/>
      <c r="O30" s="816"/>
      <c r="P30" s="816"/>
      <c r="Q30" s="816"/>
      <c r="R30" s="816"/>
      <c r="S30" s="816"/>
      <c r="T30" s="816"/>
    </row>
    <row r="31" spans="1:20" ht="18.75">
      <c r="A31" s="208"/>
      <c r="B31" s="760"/>
      <c r="C31" s="760"/>
      <c r="D31" s="760"/>
      <c r="E31" s="760"/>
      <c r="F31" s="209"/>
      <c r="G31" s="209"/>
      <c r="H31" s="209"/>
      <c r="I31" s="209"/>
      <c r="J31" s="209"/>
      <c r="K31" s="209"/>
      <c r="L31" s="209"/>
      <c r="M31" s="761"/>
      <c r="N31" s="761"/>
      <c r="O31" s="761"/>
      <c r="P31" s="761"/>
      <c r="Q31" s="761"/>
      <c r="R31" s="761"/>
      <c r="S31" s="761"/>
      <c r="T31" s="761"/>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817" t="s">
        <v>288</v>
      </c>
      <c r="C33" s="817"/>
      <c r="D33" s="817"/>
      <c r="E33" s="817"/>
      <c r="F33" s="817"/>
      <c r="G33" s="259"/>
      <c r="H33" s="259"/>
      <c r="I33" s="259"/>
      <c r="J33" s="259"/>
      <c r="K33" s="259"/>
      <c r="L33" s="259"/>
      <c r="M33" s="259"/>
      <c r="N33" s="817" t="s">
        <v>288</v>
      </c>
      <c r="O33" s="817"/>
      <c r="P33" s="817"/>
      <c r="Q33" s="817"/>
      <c r="R33" s="817"/>
      <c r="S33" s="817"/>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633" t="s">
        <v>241</v>
      </c>
      <c r="C35" s="633"/>
      <c r="D35" s="633"/>
      <c r="E35" s="633"/>
      <c r="F35" s="210"/>
      <c r="G35" s="210"/>
      <c r="H35" s="210"/>
      <c r="I35" s="182"/>
      <c r="J35" s="182"/>
      <c r="K35" s="182"/>
      <c r="L35" s="182"/>
      <c r="M35" s="634" t="s">
        <v>242</v>
      </c>
      <c r="N35" s="634"/>
      <c r="O35" s="634"/>
      <c r="P35" s="634"/>
      <c r="Q35" s="634"/>
      <c r="R35" s="634"/>
      <c r="S35" s="634"/>
      <c r="T35" s="634"/>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126</v>
      </c>
    </row>
    <row r="39" spans="2:8" s="262" customFormat="1" ht="15" hidden="1">
      <c r="B39" s="263" t="s">
        <v>178</v>
      </c>
      <c r="C39" s="263"/>
      <c r="D39" s="263"/>
      <c r="E39" s="263"/>
      <c r="F39" s="263"/>
      <c r="G39" s="263"/>
      <c r="H39" s="263"/>
    </row>
    <row r="40" spans="2:8" s="264" customFormat="1" ht="15" hidden="1">
      <c r="B40" s="263" t="s">
        <v>179</v>
      </c>
      <c r="C40" s="189"/>
      <c r="D40" s="189"/>
      <c r="E40" s="189"/>
      <c r="F40" s="189"/>
      <c r="G40" s="189"/>
      <c r="H40" s="189"/>
    </row>
    <row r="41" ht="12.75" hidden="1"/>
    <row r="42" ht="12.75" hidden="1"/>
    <row r="43" ht="12.75" hidden="1"/>
    <row r="44" ht="12.75" hidden="1"/>
    <row r="45" ht="12.75" hidden="1"/>
  </sheetData>
  <sheetProtection/>
  <mergeCells count="48">
    <mergeCell ref="K8:M9"/>
    <mergeCell ref="J8:J10"/>
    <mergeCell ref="P1:T1"/>
    <mergeCell ref="P2:T2"/>
    <mergeCell ref="P3:T3"/>
    <mergeCell ref="P4:T4"/>
    <mergeCell ref="T8:T10"/>
    <mergeCell ref="S8:S10"/>
    <mergeCell ref="B33:F33"/>
    <mergeCell ref="N33:S33"/>
    <mergeCell ref="A1:C1"/>
    <mergeCell ref="A3:C3"/>
    <mergeCell ref="A4:C4"/>
    <mergeCell ref="E2:N2"/>
    <mergeCell ref="A2:D2"/>
    <mergeCell ref="D4:N4"/>
    <mergeCell ref="E1:N1"/>
    <mergeCell ref="E3:N3"/>
    <mergeCell ref="A13:B13"/>
    <mergeCell ref="D8:E8"/>
    <mergeCell ref="M35:T35"/>
    <mergeCell ref="M29:T29"/>
    <mergeCell ref="B35:E35"/>
    <mergeCell ref="B29:E29"/>
    <mergeCell ref="B30:E30"/>
    <mergeCell ref="B31:E31"/>
    <mergeCell ref="M30:T30"/>
    <mergeCell ref="M31:T31"/>
    <mergeCell ref="H8:I8"/>
    <mergeCell ref="I9:I10"/>
    <mergeCell ref="A14:B14"/>
    <mergeCell ref="P5:T5"/>
    <mergeCell ref="D6:J6"/>
    <mergeCell ref="A12:B12"/>
    <mergeCell ref="N8:P9"/>
    <mergeCell ref="Q8:Q10"/>
    <mergeCell ref="R8:R10"/>
    <mergeCell ref="K6:T7"/>
    <mergeCell ref="C6:C10"/>
    <mergeCell ref="E9:E10"/>
    <mergeCell ref="A11:B11"/>
    <mergeCell ref="F9:F10"/>
    <mergeCell ref="A6:B10"/>
    <mergeCell ref="D9:D10"/>
    <mergeCell ref="D7:J7"/>
    <mergeCell ref="F8:G8"/>
    <mergeCell ref="H9:H10"/>
    <mergeCell ref="G9:G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831" t="s">
        <v>180</v>
      </c>
      <c r="B1" s="831"/>
      <c r="C1" s="831"/>
      <c r="D1" s="834" t="s">
        <v>361</v>
      </c>
      <c r="E1" s="834"/>
      <c r="F1" s="834"/>
      <c r="G1" s="834"/>
      <c r="H1" s="834"/>
      <c r="I1" s="834"/>
      <c r="J1" s="835" t="s">
        <v>362</v>
      </c>
      <c r="K1" s="836"/>
      <c r="L1" s="836"/>
    </row>
    <row r="2" spans="1:12" ht="34.5" customHeight="1">
      <c r="A2" s="837" t="s">
        <v>323</v>
      </c>
      <c r="B2" s="837"/>
      <c r="C2" s="837"/>
      <c r="D2" s="834"/>
      <c r="E2" s="834"/>
      <c r="F2" s="834"/>
      <c r="G2" s="834"/>
      <c r="H2" s="834"/>
      <c r="I2" s="834"/>
      <c r="J2" s="838" t="s">
        <v>363</v>
      </c>
      <c r="K2" s="839"/>
      <c r="L2" s="839"/>
    </row>
    <row r="3" spans="1:12" ht="15" customHeight="1">
      <c r="A3" s="265" t="s">
        <v>253</v>
      </c>
      <c r="B3" s="174"/>
      <c r="C3" s="840"/>
      <c r="D3" s="840"/>
      <c r="E3" s="840"/>
      <c r="F3" s="840"/>
      <c r="G3" s="840"/>
      <c r="H3" s="840"/>
      <c r="I3" s="840"/>
      <c r="J3" s="832"/>
      <c r="K3" s="833"/>
      <c r="L3" s="833"/>
    </row>
    <row r="4" spans="1:12" ht="15.75" customHeight="1">
      <c r="A4" s="266"/>
      <c r="B4" s="266"/>
      <c r="C4" s="267"/>
      <c r="D4" s="267"/>
      <c r="E4" s="170"/>
      <c r="F4" s="170"/>
      <c r="G4" s="170"/>
      <c r="H4" s="268"/>
      <c r="I4" s="268"/>
      <c r="J4" s="828" t="s">
        <v>181</v>
      </c>
      <c r="K4" s="828"/>
      <c r="L4" s="828"/>
    </row>
    <row r="5" spans="1:12" s="269" customFormat="1" ht="28.5" customHeight="1">
      <c r="A5" s="842" t="s">
        <v>55</v>
      </c>
      <c r="B5" s="842"/>
      <c r="C5" s="752" t="s">
        <v>31</v>
      </c>
      <c r="D5" s="752" t="s">
        <v>182</v>
      </c>
      <c r="E5" s="752"/>
      <c r="F5" s="752"/>
      <c r="G5" s="752"/>
      <c r="H5" s="752" t="s">
        <v>183</v>
      </c>
      <c r="I5" s="752"/>
      <c r="J5" s="752" t="s">
        <v>184</v>
      </c>
      <c r="K5" s="752"/>
      <c r="L5" s="752"/>
    </row>
    <row r="6" spans="1:13" s="269" customFormat="1" ht="80.25" customHeight="1">
      <c r="A6" s="842"/>
      <c r="B6" s="842"/>
      <c r="C6" s="752"/>
      <c r="D6" s="215" t="s">
        <v>185</v>
      </c>
      <c r="E6" s="215" t="s">
        <v>186</v>
      </c>
      <c r="F6" s="215" t="s">
        <v>324</v>
      </c>
      <c r="G6" s="215" t="s">
        <v>187</v>
      </c>
      <c r="H6" s="215" t="s">
        <v>188</v>
      </c>
      <c r="I6" s="215" t="s">
        <v>189</v>
      </c>
      <c r="J6" s="215" t="s">
        <v>190</v>
      </c>
      <c r="K6" s="215" t="s">
        <v>191</v>
      </c>
      <c r="L6" s="215" t="s">
        <v>192</v>
      </c>
      <c r="M6" s="270"/>
    </row>
    <row r="7" spans="1:12" s="271" customFormat="1" ht="16.5" customHeight="1">
      <c r="A7" s="829" t="s">
        <v>6</v>
      </c>
      <c r="B7" s="829"/>
      <c r="C7" s="221">
        <v>1</v>
      </c>
      <c r="D7" s="221">
        <v>2</v>
      </c>
      <c r="E7" s="221">
        <v>3</v>
      </c>
      <c r="F7" s="221">
        <v>4</v>
      </c>
      <c r="G7" s="221">
        <v>5</v>
      </c>
      <c r="H7" s="221">
        <v>6</v>
      </c>
      <c r="I7" s="221">
        <v>7</v>
      </c>
      <c r="J7" s="221">
        <v>8</v>
      </c>
      <c r="K7" s="221">
        <v>9</v>
      </c>
      <c r="L7" s="221">
        <v>10</v>
      </c>
    </row>
    <row r="8" spans="1:12" s="271" customFormat="1" ht="16.5" customHeight="1">
      <c r="A8" s="845" t="s">
        <v>321</v>
      </c>
      <c r="B8" s="846"/>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843" t="s">
        <v>297</v>
      </c>
      <c r="B9" s="844"/>
      <c r="C9" s="224">
        <v>9</v>
      </c>
      <c r="D9" s="224">
        <v>2</v>
      </c>
      <c r="E9" s="224">
        <v>2</v>
      </c>
      <c r="F9" s="224">
        <v>0</v>
      </c>
      <c r="G9" s="224">
        <v>5</v>
      </c>
      <c r="H9" s="224">
        <v>8</v>
      </c>
      <c r="I9" s="224">
        <v>0</v>
      </c>
      <c r="J9" s="224">
        <v>8</v>
      </c>
      <c r="K9" s="224">
        <v>1</v>
      </c>
      <c r="L9" s="224">
        <v>0</v>
      </c>
    </row>
    <row r="10" spans="1:12" s="271" customFormat="1" ht="16.5" customHeight="1">
      <c r="A10" s="830" t="s">
        <v>177</v>
      </c>
      <c r="B10" s="830"/>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193</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266</v>
      </c>
      <c r="C13" s="272">
        <f aca="true" t="shared" si="3" ref="C13:C23">D13+E13+F13+G13</f>
        <v>0</v>
      </c>
      <c r="D13" s="231">
        <v>0</v>
      </c>
      <c r="E13" s="231">
        <v>0</v>
      </c>
      <c r="F13" s="231">
        <v>0</v>
      </c>
      <c r="G13" s="231">
        <v>0</v>
      </c>
      <c r="H13" s="231">
        <v>0</v>
      </c>
      <c r="I13" s="231">
        <v>0</v>
      </c>
      <c r="J13" s="273">
        <v>0</v>
      </c>
      <c r="K13" s="273">
        <v>0</v>
      </c>
      <c r="L13" s="273">
        <v>0</v>
      </c>
      <c r="AF13" s="271" t="s">
        <v>265</v>
      </c>
    </row>
    <row r="14" spans="1:37" s="271" customFormat="1" ht="16.5" customHeight="1">
      <c r="A14" s="274">
        <v>2</v>
      </c>
      <c r="B14" s="68" t="s">
        <v>298</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269</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270</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325</v>
      </c>
      <c r="C17" s="272">
        <f t="shared" si="3"/>
        <v>1</v>
      </c>
      <c r="D17" s="231">
        <v>0</v>
      </c>
      <c r="E17" s="231">
        <v>0</v>
      </c>
      <c r="F17" s="231">
        <v>0</v>
      </c>
      <c r="G17" s="231">
        <v>1</v>
      </c>
      <c r="H17" s="231">
        <v>1</v>
      </c>
      <c r="I17" s="231">
        <v>0</v>
      </c>
      <c r="J17" s="273">
        <v>1</v>
      </c>
      <c r="K17" s="273">
        <v>0</v>
      </c>
      <c r="L17" s="273">
        <v>0</v>
      </c>
      <c r="AF17" s="199" t="s">
        <v>268</v>
      </c>
    </row>
    <row r="18" spans="1:12" s="271" customFormat="1" ht="16.5" customHeight="1">
      <c r="A18" s="274">
        <v>6</v>
      </c>
      <c r="B18" s="68" t="s">
        <v>272</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277</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279</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280</v>
      </c>
      <c r="C21" s="272">
        <f t="shared" si="3"/>
        <v>0</v>
      </c>
      <c r="D21" s="231">
        <v>0</v>
      </c>
      <c r="E21" s="231">
        <v>0</v>
      </c>
      <c r="F21" s="231">
        <v>0</v>
      </c>
      <c r="G21" s="231">
        <v>0</v>
      </c>
      <c r="H21" s="231">
        <v>0</v>
      </c>
      <c r="I21" s="231">
        <v>0</v>
      </c>
      <c r="J21" s="273">
        <v>0</v>
      </c>
      <c r="K21" s="273">
        <v>0</v>
      </c>
      <c r="L21" s="273">
        <v>0</v>
      </c>
      <c r="AJ21" s="271" t="s">
        <v>273</v>
      </c>
      <c r="AK21" s="271" t="s">
        <v>274</v>
      </c>
      <c r="AL21" s="271" t="s">
        <v>275</v>
      </c>
      <c r="AM21" s="199" t="s">
        <v>276</v>
      </c>
    </row>
    <row r="22" spans="1:39" s="271" customFormat="1" ht="16.5" customHeight="1">
      <c r="A22" s="274">
        <v>10</v>
      </c>
      <c r="B22" s="68" t="s">
        <v>281</v>
      </c>
      <c r="C22" s="272">
        <f t="shared" si="3"/>
        <v>1</v>
      </c>
      <c r="D22" s="231">
        <v>0</v>
      </c>
      <c r="E22" s="231">
        <v>1</v>
      </c>
      <c r="F22" s="231">
        <v>0</v>
      </c>
      <c r="G22" s="231">
        <v>0</v>
      </c>
      <c r="H22" s="231">
        <v>1</v>
      </c>
      <c r="I22" s="231">
        <v>0</v>
      </c>
      <c r="J22" s="273">
        <v>1</v>
      </c>
      <c r="K22" s="273">
        <v>0</v>
      </c>
      <c r="L22" s="273">
        <v>0</v>
      </c>
      <c r="AM22" s="199" t="s">
        <v>278</v>
      </c>
    </row>
    <row r="23" spans="1:12" s="271" customFormat="1" ht="16.5" customHeight="1">
      <c r="A23" s="274">
        <v>11</v>
      </c>
      <c r="B23" s="68" t="s">
        <v>283</v>
      </c>
      <c r="C23" s="272">
        <f t="shared" si="3"/>
        <v>0</v>
      </c>
      <c r="D23" s="231">
        <v>0</v>
      </c>
      <c r="E23" s="231">
        <v>0</v>
      </c>
      <c r="F23" s="231">
        <v>0</v>
      </c>
      <c r="G23" s="231">
        <v>0</v>
      </c>
      <c r="H23" s="231">
        <v>0</v>
      </c>
      <c r="I23" s="231">
        <v>0</v>
      </c>
      <c r="J23" s="273">
        <v>0</v>
      </c>
      <c r="K23" s="273">
        <v>0</v>
      </c>
      <c r="L23" s="273">
        <v>0</v>
      </c>
    </row>
    <row r="24" ht="9" customHeight="1">
      <c r="AJ24" s="233" t="s">
        <v>273</v>
      </c>
    </row>
    <row r="25" spans="1:36" ht="15.75" customHeight="1">
      <c r="A25" s="750" t="s">
        <v>326</v>
      </c>
      <c r="B25" s="750"/>
      <c r="C25" s="750"/>
      <c r="D25" s="750"/>
      <c r="E25" s="182"/>
      <c r="F25" s="757" t="s">
        <v>284</v>
      </c>
      <c r="G25" s="757"/>
      <c r="H25" s="757"/>
      <c r="I25" s="757"/>
      <c r="J25" s="757"/>
      <c r="K25" s="757"/>
      <c r="L25" s="757"/>
      <c r="AJ25" s="190" t="s">
        <v>282</v>
      </c>
    </row>
    <row r="26" spans="1:44" ht="15" customHeight="1">
      <c r="A26" s="763" t="s">
        <v>150</v>
      </c>
      <c r="B26" s="763"/>
      <c r="C26" s="763"/>
      <c r="D26" s="763"/>
      <c r="E26" s="183"/>
      <c r="F26" s="766" t="s">
        <v>151</v>
      </c>
      <c r="G26" s="766"/>
      <c r="H26" s="766"/>
      <c r="I26" s="766"/>
      <c r="J26" s="766"/>
      <c r="K26" s="766"/>
      <c r="L26" s="766"/>
      <c r="AR26" s="190"/>
    </row>
    <row r="27" spans="1:12" s="170" customFormat="1" ht="18.75">
      <c r="A27" s="760"/>
      <c r="B27" s="760"/>
      <c r="C27" s="760"/>
      <c r="D27" s="760"/>
      <c r="E27" s="182"/>
      <c r="F27" s="761"/>
      <c r="G27" s="761"/>
      <c r="H27" s="761"/>
      <c r="I27" s="761"/>
      <c r="J27" s="761"/>
      <c r="K27" s="761"/>
      <c r="L27" s="761"/>
    </row>
    <row r="28" spans="1:35" ht="18">
      <c r="A28" s="187"/>
      <c r="B28" s="187"/>
      <c r="C28" s="182"/>
      <c r="D28" s="182"/>
      <c r="E28" s="182"/>
      <c r="F28" s="182"/>
      <c r="G28" s="182"/>
      <c r="H28" s="182"/>
      <c r="I28" s="182"/>
      <c r="J28" s="182"/>
      <c r="K28" s="182"/>
      <c r="L28" s="182"/>
      <c r="AG28" s="233" t="s">
        <v>285</v>
      </c>
      <c r="AI28" s="190">
        <f>82/88</f>
        <v>0.9318181818181818</v>
      </c>
    </row>
    <row r="29" spans="1:12" ht="18">
      <c r="A29" s="187"/>
      <c r="B29" s="841" t="s">
        <v>288</v>
      </c>
      <c r="C29" s="841"/>
      <c r="D29" s="182"/>
      <c r="E29" s="182"/>
      <c r="F29" s="182"/>
      <c r="G29" s="182"/>
      <c r="H29" s="841" t="s">
        <v>288</v>
      </c>
      <c r="I29" s="841"/>
      <c r="J29" s="841"/>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194</v>
      </c>
      <c r="B32" s="185"/>
      <c r="C32" s="186"/>
      <c r="D32" s="186"/>
      <c r="E32" s="186"/>
      <c r="F32" s="186"/>
      <c r="G32" s="186"/>
      <c r="H32" s="186"/>
      <c r="I32" s="186"/>
      <c r="J32" s="186"/>
      <c r="K32" s="186"/>
      <c r="L32" s="186"/>
    </row>
    <row r="33" spans="1:12" s="211" customFormat="1" ht="18.75" hidden="1">
      <c r="A33" s="237"/>
      <c r="B33" s="279" t="s">
        <v>195</v>
      </c>
      <c r="C33" s="279"/>
      <c r="D33" s="279"/>
      <c r="E33" s="236"/>
      <c r="F33" s="236"/>
      <c r="G33" s="236"/>
      <c r="H33" s="236"/>
      <c r="I33" s="236"/>
      <c r="J33" s="236"/>
      <c r="K33" s="236"/>
      <c r="L33" s="236"/>
    </row>
    <row r="34" spans="1:12" s="211" customFormat="1" ht="18.75" hidden="1">
      <c r="A34" s="237"/>
      <c r="B34" s="279" t="s">
        <v>196</v>
      </c>
      <c r="C34" s="279"/>
      <c r="D34" s="279"/>
      <c r="E34" s="279"/>
      <c r="F34" s="236"/>
      <c r="G34" s="236"/>
      <c r="H34" s="236"/>
      <c r="I34" s="236"/>
      <c r="J34" s="236"/>
      <c r="K34" s="236"/>
      <c r="L34" s="236"/>
    </row>
    <row r="35" spans="1:12" s="211" customFormat="1" ht="18.75" hidden="1">
      <c r="A35" s="237"/>
      <c r="B35" s="236" t="s">
        <v>197</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633" t="s">
        <v>241</v>
      </c>
      <c r="B37" s="633"/>
      <c r="C37" s="633"/>
      <c r="D37" s="633"/>
      <c r="E37" s="210"/>
      <c r="F37" s="634" t="s">
        <v>242</v>
      </c>
      <c r="G37" s="634"/>
      <c r="H37" s="634"/>
      <c r="I37" s="634"/>
      <c r="J37" s="634"/>
      <c r="K37" s="634"/>
      <c r="L37" s="634"/>
      <c r="M37" s="127"/>
    </row>
    <row r="38" spans="1:12" ht="18">
      <c r="A38" s="187"/>
      <c r="B38" s="187"/>
      <c r="C38" s="182"/>
      <c r="D38" s="182"/>
      <c r="E38" s="182"/>
      <c r="F38" s="182"/>
      <c r="G38" s="182"/>
      <c r="H38" s="182"/>
      <c r="I38" s="182"/>
      <c r="J38" s="182"/>
      <c r="K38" s="182"/>
      <c r="L38" s="182"/>
    </row>
  </sheetData>
  <sheetProtection/>
  <mergeCells count="27">
    <mergeCell ref="B29:C29"/>
    <mergeCell ref="H29:J29"/>
    <mergeCell ref="A5:B6"/>
    <mergeCell ref="A25:D25"/>
    <mergeCell ref="J5:L5"/>
    <mergeCell ref="H5:I5"/>
    <mergeCell ref="D5:G5"/>
    <mergeCell ref="F25:L25"/>
    <mergeCell ref="A9:B9"/>
    <mergeCell ref="A8:B8"/>
    <mergeCell ref="A1:C1"/>
    <mergeCell ref="J3:L3"/>
    <mergeCell ref="D1:I2"/>
    <mergeCell ref="J1:L1"/>
    <mergeCell ref="A2:C2"/>
    <mergeCell ref="J2:L2"/>
    <mergeCell ref="C3:I3"/>
    <mergeCell ref="A37:D37"/>
    <mergeCell ref="J4:L4"/>
    <mergeCell ref="F37:L37"/>
    <mergeCell ref="F27:L27"/>
    <mergeCell ref="A7:B7"/>
    <mergeCell ref="C5:C6"/>
    <mergeCell ref="A10:B10"/>
    <mergeCell ref="A26:D26"/>
    <mergeCell ref="F26:L26"/>
    <mergeCell ref="A27:D27"/>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854" t="s">
        <v>198</v>
      </c>
      <c r="B1" s="854"/>
      <c r="C1" s="854"/>
      <c r="D1" s="834" t="s">
        <v>364</v>
      </c>
      <c r="E1" s="834"/>
      <c r="F1" s="834"/>
      <c r="G1" s="834"/>
      <c r="H1" s="834"/>
      <c r="I1" s="170"/>
      <c r="J1" s="171" t="s">
        <v>358</v>
      </c>
      <c r="K1" s="280"/>
      <c r="L1" s="280"/>
    </row>
    <row r="2" spans="1:12" ht="15.75" customHeight="1">
      <c r="A2" s="858" t="s">
        <v>299</v>
      </c>
      <c r="B2" s="858"/>
      <c r="C2" s="858"/>
      <c r="D2" s="834"/>
      <c r="E2" s="834"/>
      <c r="F2" s="834"/>
      <c r="G2" s="834"/>
      <c r="H2" s="834"/>
      <c r="I2" s="170"/>
      <c r="J2" s="281" t="s">
        <v>300</v>
      </c>
      <c r="K2" s="281"/>
      <c r="L2" s="281"/>
    </row>
    <row r="3" spans="1:12" ht="18.75" customHeight="1">
      <c r="A3" s="776" t="s">
        <v>251</v>
      </c>
      <c r="B3" s="776"/>
      <c r="C3" s="776"/>
      <c r="D3" s="167"/>
      <c r="E3" s="167"/>
      <c r="F3" s="167"/>
      <c r="G3" s="167"/>
      <c r="H3" s="167"/>
      <c r="I3" s="170"/>
      <c r="J3" s="174" t="s">
        <v>357</v>
      </c>
      <c r="K3" s="174"/>
      <c r="L3" s="174"/>
    </row>
    <row r="4" spans="1:12" ht="15.75" customHeight="1">
      <c r="A4" s="855" t="s">
        <v>327</v>
      </c>
      <c r="B4" s="855"/>
      <c r="C4" s="855"/>
      <c r="D4" s="853"/>
      <c r="E4" s="853"/>
      <c r="F4" s="853"/>
      <c r="G4" s="853"/>
      <c r="H4" s="853"/>
      <c r="I4" s="170"/>
      <c r="J4" s="282" t="s">
        <v>292</v>
      </c>
      <c r="K4" s="282"/>
      <c r="L4" s="282"/>
    </row>
    <row r="5" spans="1:12" ht="15.75">
      <c r="A5" s="859"/>
      <c r="B5" s="859"/>
      <c r="C5" s="166"/>
      <c r="D5" s="170"/>
      <c r="E5" s="170"/>
      <c r="F5" s="170"/>
      <c r="G5" s="170"/>
      <c r="H5" s="283"/>
      <c r="I5" s="851" t="s">
        <v>328</v>
      </c>
      <c r="J5" s="851"/>
      <c r="K5" s="851"/>
      <c r="L5" s="851"/>
    </row>
    <row r="6" spans="1:12" ht="18.75" customHeight="1">
      <c r="A6" s="768" t="s">
        <v>55</v>
      </c>
      <c r="B6" s="769"/>
      <c r="C6" s="847" t="s">
        <v>199</v>
      </c>
      <c r="D6" s="764" t="s">
        <v>200</v>
      </c>
      <c r="E6" s="852"/>
      <c r="F6" s="765"/>
      <c r="G6" s="764" t="s">
        <v>201</v>
      </c>
      <c r="H6" s="852"/>
      <c r="I6" s="852"/>
      <c r="J6" s="852"/>
      <c r="K6" s="852"/>
      <c r="L6" s="765"/>
    </row>
    <row r="7" spans="1:12" ht="15.75" customHeight="1">
      <c r="A7" s="770"/>
      <c r="B7" s="771"/>
      <c r="C7" s="848"/>
      <c r="D7" s="764" t="s">
        <v>7</v>
      </c>
      <c r="E7" s="852"/>
      <c r="F7" s="765"/>
      <c r="G7" s="847" t="s">
        <v>30</v>
      </c>
      <c r="H7" s="764" t="s">
        <v>7</v>
      </c>
      <c r="I7" s="852"/>
      <c r="J7" s="852"/>
      <c r="K7" s="852"/>
      <c r="L7" s="765"/>
    </row>
    <row r="8" spans="1:12" ht="14.25" customHeight="1">
      <c r="A8" s="770"/>
      <c r="B8" s="771"/>
      <c r="C8" s="848"/>
      <c r="D8" s="847" t="s">
        <v>202</v>
      </c>
      <c r="E8" s="847" t="s">
        <v>203</v>
      </c>
      <c r="F8" s="847" t="s">
        <v>204</v>
      </c>
      <c r="G8" s="848"/>
      <c r="H8" s="847" t="s">
        <v>205</v>
      </c>
      <c r="I8" s="847" t="s">
        <v>206</v>
      </c>
      <c r="J8" s="847" t="s">
        <v>207</v>
      </c>
      <c r="K8" s="847" t="s">
        <v>208</v>
      </c>
      <c r="L8" s="847" t="s">
        <v>209</v>
      </c>
    </row>
    <row r="9" spans="1:12" ht="77.25" customHeight="1">
      <c r="A9" s="772"/>
      <c r="B9" s="773"/>
      <c r="C9" s="849"/>
      <c r="D9" s="849"/>
      <c r="E9" s="849"/>
      <c r="F9" s="849"/>
      <c r="G9" s="849"/>
      <c r="H9" s="849"/>
      <c r="I9" s="849"/>
      <c r="J9" s="849"/>
      <c r="K9" s="849"/>
      <c r="L9" s="849"/>
    </row>
    <row r="10" spans="1:12" s="271" customFormat="1" ht="16.5" customHeight="1">
      <c r="A10" s="860" t="s">
        <v>6</v>
      </c>
      <c r="B10" s="861"/>
      <c r="C10" s="220">
        <v>1</v>
      </c>
      <c r="D10" s="220">
        <v>2</v>
      </c>
      <c r="E10" s="220">
        <v>3</v>
      </c>
      <c r="F10" s="220">
        <v>4</v>
      </c>
      <c r="G10" s="220">
        <v>5</v>
      </c>
      <c r="H10" s="220">
        <v>6</v>
      </c>
      <c r="I10" s="220">
        <v>7</v>
      </c>
      <c r="J10" s="220">
        <v>8</v>
      </c>
      <c r="K10" s="221" t="s">
        <v>61</v>
      </c>
      <c r="L10" s="221" t="s">
        <v>81</v>
      </c>
    </row>
    <row r="11" spans="1:12" s="271" customFormat="1" ht="16.5" customHeight="1">
      <c r="A11" s="864" t="s">
        <v>296</v>
      </c>
      <c r="B11" s="865"/>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862" t="s">
        <v>297</v>
      </c>
      <c r="B12" s="863"/>
      <c r="C12" s="224">
        <v>12</v>
      </c>
      <c r="D12" s="224">
        <v>0</v>
      </c>
      <c r="E12" s="224">
        <v>1</v>
      </c>
      <c r="F12" s="224">
        <v>11</v>
      </c>
      <c r="G12" s="224">
        <v>10</v>
      </c>
      <c r="H12" s="224">
        <v>0</v>
      </c>
      <c r="I12" s="224">
        <v>0</v>
      </c>
      <c r="J12" s="224">
        <v>0</v>
      </c>
      <c r="K12" s="224">
        <v>6</v>
      </c>
      <c r="L12" s="224">
        <v>4</v>
      </c>
    </row>
    <row r="13" spans="1:32" s="271" customFormat="1" ht="16.5" customHeight="1">
      <c r="A13" s="856" t="s">
        <v>30</v>
      </c>
      <c r="B13" s="857"/>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265</v>
      </c>
    </row>
    <row r="14" spans="1:37" s="271" customFormat="1" ht="16.5" customHeight="1">
      <c r="A14" s="274" t="s">
        <v>0</v>
      </c>
      <c r="B14" s="198" t="s">
        <v>128</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266</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267</v>
      </c>
      <c r="C17" s="226">
        <f t="shared" si="2"/>
        <v>1</v>
      </c>
      <c r="D17" s="231">
        <v>0</v>
      </c>
      <c r="E17" s="231">
        <v>0</v>
      </c>
      <c r="F17" s="231">
        <v>1</v>
      </c>
      <c r="G17" s="226">
        <f t="shared" si="1"/>
        <v>1</v>
      </c>
      <c r="H17" s="231">
        <v>0</v>
      </c>
      <c r="I17" s="231">
        <v>0</v>
      </c>
      <c r="J17" s="273">
        <v>0</v>
      </c>
      <c r="K17" s="273">
        <v>0</v>
      </c>
      <c r="L17" s="273">
        <v>1</v>
      </c>
      <c r="M17" s="285"/>
      <c r="AF17" s="199" t="s">
        <v>268</v>
      </c>
    </row>
    <row r="18" spans="1:14" s="271" customFormat="1" ht="15.75" customHeight="1">
      <c r="A18" s="200">
        <v>3</v>
      </c>
      <c r="B18" s="68" t="s">
        <v>269</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270</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271</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272</v>
      </c>
      <c r="C21" s="226">
        <f t="shared" si="2"/>
        <v>0</v>
      </c>
      <c r="D21" s="231">
        <v>0</v>
      </c>
      <c r="E21" s="231">
        <v>0</v>
      </c>
      <c r="F21" s="231">
        <v>0</v>
      </c>
      <c r="G21" s="226">
        <f t="shared" si="1"/>
        <v>0</v>
      </c>
      <c r="H21" s="231">
        <v>0</v>
      </c>
      <c r="I21" s="231">
        <v>0</v>
      </c>
      <c r="J21" s="273">
        <v>0</v>
      </c>
      <c r="K21" s="273">
        <v>0</v>
      </c>
      <c r="L21" s="273">
        <v>0</v>
      </c>
      <c r="M21" s="285"/>
      <c r="AJ21" s="271" t="s">
        <v>273</v>
      </c>
      <c r="AK21" s="271" t="s">
        <v>274</v>
      </c>
      <c r="AL21" s="271" t="s">
        <v>275</v>
      </c>
      <c r="AM21" s="199" t="s">
        <v>276</v>
      </c>
    </row>
    <row r="22" spans="1:39" s="271" customFormat="1" ht="15.75" customHeight="1">
      <c r="A22" s="200">
        <v>7</v>
      </c>
      <c r="B22" s="68" t="s">
        <v>277</v>
      </c>
      <c r="C22" s="226">
        <f t="shared" si="2"/>
        <v>0</v>
      </c>
      <c r="D22" s="231">
        <v>0</v>
      </c>
      <c r="E22" s="231">
        <v>0</v>
      </c>
      <c r="F22" s="231">
        <v>0</v>
      </c>
      <c r="G22" s="226">
        <f t="shared" si="1"/>
        <v>0</v>
      </c>
      <c r="H22" s="231">
        <v>0</v>
      </c>
      <c r="I22" s="231">
        <v>0</v>
      </c>
      <c r="J22" s="273">
        <v>0</v>
      </c>
      <c r="K22" s="273">
        <v>0</v>
      </c>
      <c r="L22" s="273">
        <v>0</v>
      </c>
      <c r="M22" s="285"/>
      <c r="N22" s="178"/>
      <c r="AM22" s="199" t="s">
        <v>278</v>
      </c>
    </row>
    <row r="23" spans="1:13" s="271" customFormat="1" ht="15.75" customHeight="1">
      <c r="A23" s="200">
        <v>8</v>
      </c>
      <c r="B23" s="68" t="s">
        <v>279</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280</v>
      </c>
      <c r="C24" s="226">
        <f t="shared" si="2"/>
        <v>0</v>
      </c>
      <c r="D24" s="231">
        <v>0</v>
      </c>
      <c r="E24" s="231">
        <v>0</v>
      </c>
      <c r="F24" s="231">
        <v>0</v>
      </c>
      <c r="G24" s="226">
        <f t="shared" si="1"/>
        <v>0</v>
      </c>
      <c r="H24" s="231">
        <v>0</v>
      </c>
      <c r="I24" s="231">
        <v>0</v>
      </c>
      <c r="J24" s="273">
        <v>0</v>
      </c>
      <c r="K24" s="273">
        <v>0</v>
      </c>
      <c r="L24" s="273">
        <v>0</v>
      </c>
      <c r="M24" s="285"/>
      <c r="AJ24" s="271" t="s">
        <v>273</v>
      </c>
    </row>
    <row r="25" spans="1:36" s="271" customFormat="1" ht="15.75" customHeight="1">
      <c r="A25" s="200">
        <v>10</v>
      </c>
      <c r="B25" s="68" t="s">
        <v>281</v>
      </c>
      <c r="C25" s="226">
        <f t="shared" si="2"/>
        <v>1</v>
      </c>
      <c r="D25" s="231">
        <v>0</v>
      </c>
      <c r="E25" s="231">
        <v>0</v>
      </c>
      <c r="F25" s="231">
        <v>1</v>
      </c>
      <c r="G25" s="226">
        <f t="shared" si="1"/>
        <v>1</v>
      </c>
      <c r="H25" s="231">
        <v>0</v>
      </c>
      <c r="I25" s="231">
        <v>0</v>
      </c>
      <c r="J25" s="273">
        <v>0</v>
      </c>
      <c r="K25" s="273">
        <v>0</v>
      </c>
      <c r="L25" s="273">
        <v>1</v>
      </c>
      <c r="M25" s="285"/>
      <c r="AJ25" s="199" t="s">
        <v>282</v>
      </c>
    </row>
    <row r="26" spans="1:44" s="271" customFormat="1" ht="15.75" customHeight="1">
      <c r="A26" s="200">
        <v>11</v>
      </c>
      <c r="B26" s="68" t="s">
        <v>283</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750" t="s">
        <v>284</v>
      </c>
      <c r="B28" s="750"/>
      <c r="C28" s="750"/>
      <c r="D28" s="750"/>
      <c r="E28" s="750"/>
      <c r="F28" s="182"/>
      <c r="G28" s="181"/>
      <c r="H28" s="294" t="s">
        <v>329</v>
      </c>
      <c r="I28" s="295"/>
      <c r="J28" s="295"/>
      <c r="K28" s="295"/>
      <c r="L28" s="295"/>
      <c r="AG28" s="233" t="s">
        <v>285</v>
      </c>
      <c r="AI28" s="190">
        <f>82/88</f>
        <v>0.9318181818181818</v>
      </c>
    </row>
    <row r="29" spans="1:12" ht="15" customHeight="1">
      <c r="A29" s="763" t="s">
        <v>4</v>
      </c>
      <c r="B29" s="763"/>
      <c r="C29" s="763"/>
      <c r="D29" s="763"/>
      <c r="E29" s="763"/>
      <c r="F29" s="182"/>
      <c r="G29" s="183"/>
      <c r="H29" s="766" t="s">
        <v>151</v>
      </c>
      <c r="I29" s="766"/>
      <c r="J29" s="766"/>
      <c r="K29" s="766"/>
      <c r="L29" s="766"/>
    </row>
    <row r="30" spans="1:14" s="170" customFormat="1" ht="18.75">
      <c r="A30" s="760"/>
      <c r="B30" s="760"/>
      <c r="C30" s="760"/>
      <c r="D30" s="760"/>
      <c r="E30" s="760"/>
      <c r="F30" s="296"/>
      <c r="G30" s="182"/>
      <c r="H30" s="761"/>
      <c r="I30" s="761"/>
      <c r="J30" s="761"/>
      <c r="K30" s="761"/>
      <c r="L30" s="761"/>
      <c r="M30" s="297"/>
      <c r="N30" s="297"/>
    </row>
    <row r="31" spans="1:12" ht="18">
      <c r="A31" s="182"/>
      <c r="B31" s="182"/>
      <c r="C31" s="182"/>
      <c r="D31" s="182"/>
      <c r="E31" s="182"/>
      <c r="F31" s="182"/>
      <c r="G31" s="182"/>
      <c r="H31" s="182"/>
      <c r="I31" s="182"/>
      <c r="J31" s="182"/>
      <c r="K31" s="182"/>
      <c r="L31" s="298"/>
    </row>
    <row r="32" spans="1:12" ht="18">
      <c r="A32" s="182"/>
      <c r="B32" s="841" t="s">
        <v>288</v>
      </c>
      <c r="C32" s="841"/>
      <c r="D32" s="841"/>
      <c r="E32" s="841"/>
      <c r="F32" s="182"/>
      <c r="G32" s="182"/>
      <c r="H32" s="182"/>
      <c r="I32" s="841" t="s">
        <v>288</v>
      </c>
      <c r="J32" s="841"/>
      <c r="K32" s="841"/>
      <c r="L32" s="298"/>
    </row>
    <row r="33" spans="1:12" ht="10.5" customHeight="1">
      <c r="A33" s="182"/>
      <c r="B33" s="182"/>
      <c r="C33" s="299" t="s">
        <v>287</v>
      </c>
      <c r="D33" s="299"/>
      <c r="E33" s="299"/>
      <c r="F33" s="299"/>
      <c r="G33" s="299"/>
      <c r="H33" s="299"/>
      <c r="I33" s="299"/>
      <c r="J33" s="300" t="s">
        <v>287</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850" t="s">
        <v>210</v>
      </c>
      <c r="C40" s="850"/>
      <c r="D40" s="850"/>
      <c r="E40" s="850"/>
      <c r="F40" s="850"/>
      <c r="G40" s="303"/>
      <c r="H40" s="301"/>
      <c r="I40" s="301"/>
      <c r="J40" s="301"/>
      <c r="K40" s="301"/>
      <c r="L40" s="301"/>
      <c r="M40" s="265"/>
      <c r="N40" s="265"/>
      <c r="O40" s="265"/>
      <c r="P40" s="265"/>
    </row>
    <row r="41" spans="1:12" ht="12.75" customHeight="1" hidden="1">
      <c r="A41" s="182"/>
      <c r="B41" s="279" t="s">
        <v>211</v>
      </c>
      <c r="C41" s="304"/>
      <c r="D41" s="304"/>
      <c r="E41" s="304"/>
      <c r="F41" s="304"/>
      <c r="G41" s="182"/>
      <c r="H41" s="301"/>
      <c r="I41" s="301"/>
      <c r="J41" s="301"/>
      <c r="K41" s="301"/>
      <c r="L41" s="301"/>
    </row>
    <row r="42" spans="1:12" ht="12.75" customHeight="1" hidden="1">
      <c r="A42" s="182"/>
      <c r="B42" s="236" t="s">
        <v>212</v>
      </c>
      <c r="C42" s="304"/>
      <c r="D42" s="304"/>
      <c r="E42" s="304"/>
      <c r="F42" s="304"/>
      <c r="G42" s="182"/>
      <c r="H42" s="301"/>
      <c r="I42" s="301"/>
      <c r="J42" s="301"/>
      <c r="K42" s="301"/>
      <c r="L42" s="301"/>
    </row>
    <row r="43" spans="1:12" ht="18.75">
      <c r="A43" s="633" t="s">
        <v>330</v>
      </c>
      <c r="B43" s="633"/>
      <c r="C43" s="633"/>
      <c r="D43" s="633"/>
      <c r="E43" s="633"/>
      <c r="F43" s="182"/>
      <c r="G43" s="301"/>
      <c r="H43" s="634" t="s">
        <v>242</v>
      </c>
      <c r="I43" s="634"/>
      <c r="J43" s="634"/>
      <c r="K43" s="634"/>
      <c r="L43" s="634"/>
    </row>
    <row r="44" spans="1:12" ht="12.75" customHeight="1">
      <c r="A44" s="182"/>
      <c r="B44" s="182"/>
      <c r="C44" s="182"/>
      <c r="D44" s="182"/>
      <c r="E44" s="182"/>
      <c r="F44" s="182"/>
      <c r="G44" s="182"/>
      <c r="H44" s="301"/>
      <c r="I44" s="301"/>
      <c r="J44" s="301"/>
      <c r="K44" s="301"/>
      <c r="L44" s="301"/>
    </row>
  </sheetData>
  <sheetProtection/>
  <mergeCells count="37">
    <mergeCell ref="A1:C1"/>
    <mergeCell ref="A3:C3"/>
    <mergeCell ref="A4:C4"/>
    <mergeCell ref="A13:B13"/>
    <mergeCell ref="A2:C2"/>
    <mergeCell ref="A5:B5"/>
    <mergeCell ref="A10:B10"/>
    <mergeCell ref="A6:B9"/>
    <mergeCell ref="A12:B12"/>
    <mergeCell ref="A11:B11"/>
    <mergeCell ref="D1:H2"/>
    <mergeCell ref="K8:K9"/>
    <mergeCell ref="G7:G9"/>
    <mergeCell ref="G6:L6"/>
    <mergeCell ref="D7:F7"/>
    <mergeCell ref="D8:D9"/>
    <mergeCell ref="E8:E9"/>
    <mergeCell ref="F8:F9"/>
    <mergeCell ref="H7:L7"/>
    <mergeCell ref="D4:H4"/>
    <mergeCell ref="A30:E30"/>
    <mergeCell ref="I5:L5"/>
    <mergeCell ref="L8:L9"/>
    <mergeCell ref="H8:H9"/>
    <mergeCell ref="D6:F6"/>
    <mergeCell ref="I8:I9"/>
    <mergeCell ref="J8:J9"/>
    <mergeCell ref="I32:K32"/>
    <mergeCell ref="A28:E28"/>
    <mergeCell ref="C6:C9"/>
    <mergeCell ref="A43:E43"/>
    <mergeCell ref="A29:E29"/>
    <mergeCell ref="B32:E32"/>
    <mergeCell ref="H29:L29"/>
    <mergeCell ref="H43:L43"/>
    <mergeCell ref="B40:F40"/>
    <mergeCell ref="H30:L30"/>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778" t="s">
        <v>213</v>
      </c>
      <c r="B1" s="778"/>
      <c r="C1" s="778"/>
      <c r="D1" s="778"/>
      <c r="E1" s="306"/>
      <c r="F1" s="774" t="s">
        <v>365</v>
      </c>
      <c r="G1" s="774"/>
      <c r="H1" s="774"/>
      <c r="I1" s="774"/>
      <c r="J1" s="774"/>
      <c r="K1" s="774"/>
      <c r="L1" s="774"/>
      <c r="M1" s="774"/>
      <c r="N1" s="774"/>
      <c r="O1" s="774"/>
      <c r="P1" s="307" t="s">
        <v>289</v>
      </c>
      <c r="Q1" s="308"/>
      <c r="R1" s="308"/>
      <c r="S1" s="308"/>
      <c r="T1" s="308"/>
    </row>
    <row r="2" spans="1:20" s="177" customFormat="1" ht="20.25" customHeight="1">
      <c r="A2" s="868" t="s">
        <v>299</v>
      </c>
      <c r="B2" s="868"/>
      <c r="C2" s="868"/>
      <c r="D2" s="868"/>
      <c r="E2" s="306"/>
      <c r="F2" s="774"/>
      <c r="G2" s="774"/>
      <c r="H2" s="774"/>
      <c r="I2" s="774"/>
      <c r="J2" s="774"/>
      <c r="K2" s="774"/>
      <c r="L2" s="774"/>
      <c r="M2" s="774"/>
      <c r="N2" s="774"/>
      <c r="O2" s="774"/>
      <c r="P2" s="308" t="s">
        <v>331</v>
      </c>
      <c r="Q2" s="308"/>
      <c r="R2" s="308"/>
      <c r="S2" s="308"/>
      <c r="T2" s="308"/>
    </row>
    <row r="3" spans="1:20" s="177" customFormat="1" ht="15" customHeight="1">
      <c r="A3" s="868" t="s">
        <v>251</v>
      </c>
      <c r="B3" s="868"/>
      <c r="C3" s="868"/>
      <c r="D3" s="868"/>
      <c r="E3" s="306"/>
      <c r="F3" s="774"/>
      <c r="G3" s="774"/>
      <c r="H3" s="774"/>
      <c r="I3" s="774"/>
      <c r="J3" s="774"/>
      <c r="K3" s="774"/>
      <c r="L3" s="774"/>
      <c r="M3" s="774"/>
      <c r="N3" s="774"/>
      <c r="O3" s="774"/>
      <c r="P3" s="307" t="s">
        <v>357</v>
      </c>
      <c r="Q3" s="307"/>
      <c r="R3" s="307"/>
      <c r="S3" s="309"/>
      <c r="T3" s="309"/>
    </row>
    <row r="4" spans="1:20" s="177" customFormat="1" ht="15.75" customHeight="1">
      <c r="A4" s="871" t="s">
        <v>332</v>
      </c>
      <c r="B4" s="871"/>
      <c r="C4" s="871"/>
      <c r="D4" s="871"/>
      <c r="E4" s="307"/>
      <c r="F4" s="774"/>
      <c r="G4" s="774"/>
      <c r="H4" s="774"/>
      <c r="I4" s="774"/>
      <c r="J4" s="774"/>
      <c r="K4" s="774"/>
      <c r="L4" s="774"/>
      <c r="M4" s="774"/>
      <c r="N4" s="774"/>
      <c r="O4" s="774"/>
      <c r="P4" s="308" t="s">
        <v>301</v>
      </c>
      <c r="Q4" s="307"/>
      <c r="R4" s="307"/>
      <c r="S4" s="309"/>
      <c r="T4" s="309"/>
    </row>
    <row r="5" spans="1:18" s="177" customFormat="1" ht="24" customHeight="1">
      <c r="A5" s="310"/>
      <c r="B5" s="310"/>
      <c r="C5" s="310"/>
      <c r="F5" s="870"/>
      <c r="G5" s="870"/>
      <c r="H5" s="870"/>
      <c r="I5" s="870"/>
      <c r="J5" s="870"/>
      <c r="K5" s="870"/>
      <c r="L5" s="870"/>
      <c r="M5" s="870"/>
      <c r="N5" s="870"/>
      <c r="O5" s="870"/>
      <c r="P5" s="311" t="s">
        <v>333</v>
      </c>
      <c r="Q5" s="312"/>
      <c r="R5" s="312"/>
    </row>
    <row r="6" spans="1:20" s="313" customFormat="1" ht="21.75" customHeight="1">
      <c r="A6" s="873" t="s">
        <v>55</v>
      </c>
      <c r="B6" s="874"/>
      <c r="C6" s="781" t="s">
        <v>31</v>
      </c>
      <c r="D6" s="784"/>
      <c r="E6" s="781" t="s">
        <v>7</v>
      </c>
      <c r="F6" s="872"/>
      <c r="G6" s="872"/>
      <c r="H6" s="872"/>
      <c r="I6" s="872"/>
      <c r="J6" s="872"/>
      <c r="K6" s="872"/>
      <c r="L6" s="872"/>
      <c r="M6" s="872"/>
      <c r="N6" s="872"/>
      <c r="O6" s="872"/>
      <c r="P6" s="872"/>
      <c r="Q6" s="872"/>
      <c r="R6" s="872"/>
      <c r="S6" s="872"/>
      <c r="T6" s="784"/>
    </row>
    <row r="7" spans="1:21" s="313" customFormat="1" ht="22.5" customHeight="1">
      <c r="A7" s="875"/>
      <c r="B7" s="876"/>
      <c r="C7" s="753" t="s">
        <v>334</v>
      </c>
      <c r="D7" s="753" t="s">
        <v>335</v>
      </c>
      <c r="E7" s="781" t="s">
        <v>214</v>
      </c>
      <c r="F7" s="885"/>
      <c r="G7" s="885"/>
      <c r="H7" s="885"/>
      <c r="I7" s="885"/>
      <c r="J7" s="885"/>
      <c r="K7" s="885"/>
      <c r="L7" s="886"/>
      <c r="M7" s="781" t="s">
        <v>336</v>
      </c>
      <c r="N7" s="872"/>
      <c r="O7" s="872"/>
      <c r="P7" s="872"/>
      <c r="Q7" s="872"/>
      <c r="R7" s="872"/>
      <c r="S7" s="872"/>
      <c r="T7" s="784"/>
      <c r="U7" s="314"/>
    </row>
    <row r="8" spans="1:20" s="313" customFormat="1" ht="42.75" customHeight="1">
      <c r="A8" s="875"/>
      <c r="B8" s="876"/>
      <c r="C8" s="754"/>
      <c r="D8" s="754"/>
      <c r="E8" s="752" t="s">
        <v>337</v>
      </c>
      <c r="F8" s="752"/>
      <c r="G8" s="781" t="s">
        <v>338</v>
      </c>
      <c r="H8" s="872"/>
      <c r="I8" s="872"/>
      <c r="J8" s="872"/>
      <c r="K8" s="872"/>
      <c r="L8" s="784"/>
      <c r="M8" s="752" t="s">
        <v>339</v>
      </c>
      <c r="N8" s="752"/>
      <c r="O8" s="781" t="s">
        <v>338</v>
      </c>
      <c r="P8" s="872"/>
      <c r="Q8" s="872"/>
      <c r="R8" s="872"/>
      <c r="S8" s="872"/>
      <c r="T8" s="784"/>
    </row>
    <row r="9" spans="1:20" s="313" customFormat="1" ht="35.25" customHeight="1">
      <c r="A9" s="875"/>
      <c r="B9" s="876"/>
      <c r="C9" s="754"/>
      <c r="D9" s="754"/>
      <c r="E9" s="753" t="s">
        <v>215</v>
      </c>
      <c r="F9" s="753" t="s">
        <v>216</v>
      </c>
      <c r="G9" s="866" t="s">
        <v>217</v>
      </c>
      <c r="H9" s="867"/>
      <c r="I9" s="866" t="s">
        <v>218</v>
      </c>
      <c r="J9" s="867"/>
      <c r="K9" s="866" t="s">
        <v>219</v>
      </c>
      <c r="L9" s="867"/>
      <c r="M9" s="753" t="s">
        <v>220</v>
      </c>
      <c r="N9" s="753" t="s">
        <v>216</v>
      </c>
      <c r="O9" s="866" t="s">
        <v>217</v>
      </c>
      <c r="P9" s="867"/>
      <c r="Q9" s="866" t="s">
        <v>221</v>
      </c>
      <c r="R9" s="867"/>
      <c r="S9" s="866" t="s">
        <v>222</v>
      </c>
      <c r="T9" s="867"/>
    </row>
    <row r="10" spans="1:20" s="313" customFormat="1" ht="25.5" customHeight="1">
      <c r="A10" s="866"/>
      <c r="B10" s="867"/>
      <c r="C10" s="755"/>
      <c r="D10" s="755"/>
      <c r="E10" s="755"/>
      <c r="F10" s="755"/>
      <c r="G10" s="215" t="s">
        <v>220</v>
      </c>
      <c r="H10" s="215" t="s">
        <v>216</v>
      </c>
      <c r="I10" s="219" t="s">
        <v>220</v>
      </c>
      <c r="J10" s="215" t="s">
        <v>216</v>
      </c>
      <c r="K10" s="219" t="s">
        <v>220</v>
      </c>
      <c r="L10" s="215" t="s">
        <v>216</v>
      </c>
      <c r="M10" s="755"/>
      <c r="N10" s="755"/>
      <c r="O10" s="215" t="s">
        <v>220</v>
      </c>
      <c r="P10" s="215" t="s">
        <v>216</v>
      </c>
      <c r="Q10" s="219" t="s">
        <v>220</v>
      </c>
      <c r="R10" s="215" t="s">
        <v>216</v>
      </c>
      <c r="S10" s="219" t="s">
        <v>220</v>
      </c>
      <c r="T10" s="215" t="s">
        <v>216</v>
      </c>
    </row>
    <row r="11" spans="1:32" s="222" customFormat="1" ht="12.75">
      <c r="A11" s="877" t="s">
        <v>6</v>
      </c>
      <c r="B11" s="878"/>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265</v>
      </c>
    </row>
    <row r="12" spans="1:20" s="222" customFormat="1" ht="20.25" customHeight="1">
      <c r="A12" s="879" t="s">
        <v>321</v>
      </c>
      <c r="B12" s="880"/>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881" t="s">
        <v>297</v>
      </c>
      <c r="B13" s="882"/>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883" t="s">
        <v>30</v>
      </c>
      <c r="B14" s="884"/>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128</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266</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268</v>
      </c>
    </row>
    <row r="18" spans="1:20" s="178" customFormat="1" ht="15.75" customHeight="1">
      <c r="A18" s="200">
        <v>2</v>
      </c>
      <c r="B18" s="68" t="s">
        <v>298</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269</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270</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271</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273</v>
      </c>
      <c r="AK21" s="178" t="s">
        <v>274</v>
      </c>
      <c r="AL21" s="178" t="s">
        <v>275</v>
      </c>
      <c r="AM21" s="199" t="s">
        <v>276</v>
      </c>
    </row>
    <row r="22" spans="1:39" s="178" customFormat="1" ht="15.75" customHeight="1">
      <c r="A22" s="200">
        <v>6</v>
      </c>
      <c r="B22" s="68" t="s">
        <v>272</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278</v>
      </c>
    </row>
    <row r="23" spans="1:20" s="178" customFormat="1" ht="15.75" customHeight="1">
      <c r="A23" s="200">
        <v>7</v>
      </c>
      <c r="B23" s="68" t="s">
        <v>277</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279</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273</v>
      </c>
    </row>
    <row r="25" spans="1:36" s="178" customFormat="1" ht="15.75" customHeight="1">
      <c r="A25" s="200">
        <v>9</v>
      </c>
      <c r="B25" s="68" t="s">
        <v>280</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282</v>
      </c>
    </row>
    <row r="26" spans="1:44" s="178" customFormat="1" ht="15.75" customHeight="1">
      <c r="A26" s="200">
        <v>10</v>
      </c>
      <c r="B26" s="68" t="s">
        <v>281</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283</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285</v>
      </c>
      <c r="AI28" s="190">
        <f>82/88</f>
        <v>0.9318181818181818</v>
      </c>
    </row>
    <row r="29" spans="1:20" ht="15.75" customHeight="1">
      <c r="A29" s="180"/>
      <c r="B29" s="750" t="s">
        <v>284</v>
      </c>
      <c r="C29" s="750"/>
      <c r="D29" s="750"/>
      <c r="E29" s="750"/>
      <c r="F29" s="750"/>
      <c r="G29" s="750"/>
      <c r="H29" s="181"/>
      <c r="I29" s="181"/>
      <c r="J29" s="182"/>
      <c r="K29" s="181"/>
      <c r="L29" s="757" t="s">
        <v>284</v>
      </c>
      <c r="M29" s="757"/>
      <c r="N29" s="757"/>
      <c r="O29" s="757"/>
      <c r="P29" s="757"/>
      <c r="Q29" s="757"/>
      <c r="R29" s="757"/>
      <c r="S29" s="757"/>
      <c r="T29" s="757"/>
    </row>
    <row r="30" spans="1:20" ht="15" customHeight="1">
      <c r="A30" s="180"/>
      <c r="B30" s="763" t="s">
        <v>35</v>
      </c>
      <c r="C30" s="763"/>
      <c r="D30" s="763"/>
      <c r="E30" s="763"/>
      <c r="F30" s="763"/>
      <c r="G30" s="763"/>
      <c r="H30" s="183"/>
      <c r="I30" s="183"/>
      <c r="J30" s="183"/>
      <c r="K30" s="183"/>
      <c r="L30" s="766" t="s">
        <v>240</v>
      </c>
      <c r="M30" s="766"/>
      <c r="N30" s="766"/>
      <c r="O30" s="766"/>
      <c r="P30" s="766"/>
      <c r="Q30" s="766"/>
      <c r="R30" s="766"/>
      <c r="S30" s="766"/>
      <c r="T30" s="766"/>
    </row>
    <row r="31" spans="1:20" s="320" customFormat="1" ht="18.75">
      <c r="A31" s="318"/>
      <c r="B31" s="760"/>
      <c r="C31" s="760"/>
      <c r="D31" s="760"/>
      <c r="E31" s="760"/>
      <c r="F31" s="760"/>
      <c r="G31" s="319"/>
      <c r="H31" s="319"/>
      <c r="I31" s="319"/>
      <c r="J31" s="319"/>
      <c r="K31" s="319"/>
      <c r="L31" s="761"/>
      <c r="M31" s="761"/>
      <c r="N31" s="761"/>
      <c r="O31" s="761"/>
      <c r="P31" s="761"/>
      <c r="Q31" s="761"/>
      <c r="R31" s="761"/>
      <c r="S31" s="761"/>
      <c r="T31" s="761"/>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869" t="s">
        <v>288</v>
      </c>
      <c r="C33" s="869"/>
      <c r="D33" s="869"/>
      <c r="E33" s="869"/>
      <c r="F33" s="869"/>
      <c r="G33" s="321"/>
      <c r="H33" s="321"/>
      <c r="I33" s="321"/>
      <c r="J33" s="321"/>
      <c r="K33" s="321"/>
      <c r="L33" s="321"/>
      <c r="M33" s="321"/>
      <c r="N33" s="321"/>
      <c r="O33" s="869" t="s">
        <v>288</v>
      </c>
      <c r="P33" s="869"/>
      <c r="Q33" s="869"/>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210</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211</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223</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633" t="s">
        <v>241</v>
      </c>
      <c r="C39" s="633"/>
      <c r="D39" s="633"/>
      <c r="E39" s="633"/>
      <c r="F39" s="633"/>
      <c r="G39" s="633"/>
      <c r="H39" s="182"/>
      <c r="I39" s="182"/>
      <c r="J39" s="182"/>
      <c r="K39" s="182"/>
      <c r="L39" s="634" t="s">
        <v>242</v>
      </c>
      <c r="M39" s="634"/>
      <c r="N39" s="634"/>
      <c r="O39" s="634"/>
      <c r="P39" s="634"/>
      <c r="Q39" s="634"/>
      <c r="R39" s="634"/>
      <c r="S39" s="634"/>
      <c r="T39" s="634"/>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A14:B14"/>
    <mergeCell ref="E7:L7"/>
    <mergeCell ref="C6:D6"/>
    <mergeCell ref="C7:C10"/>
    <mergeCell ref="G9:H9"/>
    <mergeCell ref="M8:N8"/>
    <mergeCell ref="N9:N10"/>
    <mergeCell ref="E6:T6"/>
    <mergeCell ref="F9:F10"/>
    <mergeCell ref="E8:F8"/>
    <mergeCell ref="D7:D10"/>
    <mergeCell ref="B33:F33"/>
    <mergeCell ref="L30:T30"/>
    <mergeCell ref="L31:T31"/>
    <mergeCell ref="A11:B11"/>
    <mergeCell ref="O8:T8"/>
    <mergeCell ref="S9:T9"/>
    <mergeCell ref="A12:B12"/>
    <mergeCell ref="B31:F31"/>
    <mergeCell ref="B29:G29"/>
    <mergeCell ref="A13:B13"/>
    <mergeCell ref="A1:D1"/>
    <mergeCell ref="F5:O5"/>
    <mergeCell ref="A4:D4"/>
    <mergeCell ref="I9:J9"/>
    <mergeCell ref="G8:L8"/>
    <mergeCell ref="Q9:R9"/>
    <mergeCell ref="A6:B10"/>
    <mergeCell ref="M9:M10"/>
    <mergeCell ref="A3:D3"/>
    <mergeCell ref="M7:T7"/>
    <mergeCell ref="O9:P9"/>
    <mergeCell ref="K9:L9"/>
    <mergeCell ref="F1:O4"/>
    <mergeCell ref="E9:E10"/>
    <mergeCell ref="A2:D2"/>
    <mergeCell ref="L39:T39"/>
    <mergeCell ref="L29:T29"/>
    <mergeCell ref="B39:G39"/>
    <mergeCell ref="B30:G30"/>
    <mergeCell ref="O33:Q33"/>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User</cp:lastModifiedBy>
  <cp:lastPrinted>2018-06-06T01:39:36Z</cp:lastPrinted>
  <dcterms:created xsi:type="dcterms:W3CDTF">2004-03-07T02:36:29Z</dcterms:created>
  <dcterms:modified xsi:type="dcterms:W3CDTF">2018-06-06T01:41:04Z</dcterms:modified>
  <cp:category/>
  <cp:version/>
  <cp:contentType/>
  <cp:contentStatus/>
</cp:coreProperties>
</file>